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0"/>
  <workbookPr/>
  <mc:AlternateContent xmlns:mc="http://schemas.openxmlformats.org/markup-compatibility/2006">
    <mc:Choice Requires="x15">
      <x15ac:absPath xmlns:x15ac="http://schemas.microsoft.com/office/spreadsheetml/2010/11/ac" url="/Users/mac/Desktop/Baseball Recovery Folder/2020 Baseball/"/>
    </mc:Choice>
  </mc:AlternateContent>
  <xr:revisionPtr revIDLastSave="0" documentId="13_ncr:1_{0EFF641F-A42C-3743-A55F-6329705EC987}" xr6:coauthVersionLast="34" xr6:coauthVersionMax="34" xr10:uidLastSave="{00000000-0000-0000-0000-000000000000}"/>
  <bookViews>
    <workbookView xWindow="2020" yWindow="2260" windowWidth="40960" windowHeight="20700" activeTab="1" xr2:uid="{00000000-000D-0000-FFFF-FFFF00000000}"/>
  </bookViews>
  <sheets>
    <sheet name="2019 Budget" sheetId="1" r:id="rId1"/>
    <sheet name="Monthly" sheetId="2" r:id="rId2"/>
    <sheet name="mower expectations" sheetId="7" r:id="rId3"/>
    <sheet name="Sheet1" sheetId="8" r:id="rId4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2" l="1"/>
  <c r="O50" i="2"/>
  <c r="O52" i="2" s="1"/>
  <c r="S38" i="2" l="1"/>
  <c r="S41" i="2"/>
  <c r="S39" i="2"/>
  <c r="M23" i="2" l="1"/>
  <c r="S40" i="2"/>
  <c r="L26" i="7" l="1"/>
  <c r="L29" i="7"/>
  <c r="L25" i="7"/>
  <c r="L11" i="7" l="1"/>
  <c r="L9" i="7"/>
  <c r="L8" i="7"/>
  <c r="L23" i="7" s="1"/>
  <c r="I54" i="7"/>
  <c r="G54" i="7"/>
  <c r="G52" i="7"/>
  <c r="S49" i="7"/>
  <c r="R48" i="7"/>
  <c r="Q48" i="7"/>
  <c r="P48" i="7"/>
  <c r="O48" i="7"/>
  <c r="N48" i="7"/>
  <c r="M48" i="7"/>
  <c r="L48" i="7"/>
  <c r="E48" i="7"/>
  <c r="D48" i="7"/>
  <c r="S47" i="7"/>
  <c r="S46" i="7"/>
  <c r="S45" i="7"/>
  <c r="G45" i="7"/>
  <c r="S44" i="7"/>
  <c r="S43" i="7"/>
  <c r="S42" i="7"/>
  <c r="K42" i="7"/>
  <c r="K41" i="7"/>
  <c r="J41" i="7"/>
  <c r="S41" i="7" s="1"/>
  <c r="S39" i="7"/>
  <c r="S38" i="7"/>
  <c r="K37" i="7"/>
  <c r="S37" i="7" s="1"/>
  <c r="S35" i="7"/>
  <c r="S34" i="7"/>
  <c r="K33" i="7"/>
  <c r="H33" i="7"/>
  <c r="S32" i="7"/>
  <c r="J31" i="7"/>
  <c r="S31" i="7" s="1"/>
  <c r="S30" i="7"/>
  <c r="J29" i="7"/>
  <c r="S29" i="7" s="1"/>
  <c r="H28" i="7"/>
  <c r="H48" i="7" s="1"/>
  <c r="G28" i="7"/>
  <c r="G48" i="7" s="1"/>
  <c r="K26" i="7"/>
  <c r="J25" i="7"/>
  <c r="I25" i="7"/>
  <c r="I48" i="7" s="1"/>
  <c r="R23" i="7"/>
  <c r="Q23" i="7"/>
  <c r="Q50" i="7" s="1"/>
  <c r="P23" i="7"/>
  <c r="P50" i="7" s="1"/>
  <c r="O23" i="7"/>
  <c r="N23" i="7"/>
  <c r="M23" i="7"/>
  <c r="M50" i="7" s="1"/>
  <c r="G23" i="7"/>
  <c r="E23" i="7"/>
  <c r="S22" i="7"/>
  <c r="S21" i="7"/>
  <c r="K20" i="7"/>
  <c r="J20" i="7"/>
  <c r="I19" i="7"/>
  <c r="H19" i="7"/>
  <c r="I18" i="7"/>
  <c r="H18" i="7"/>
  <c r="S17" i="7"/>
  <c r="S16" i="7"/>
  <c r="S15" i="7"/>
  <c r="I14" i="7"/>
  <c r="H14" i="7"/>
  <c r="H13" i="7"/>
  <c r="S13" i="7" s="1"/>
  <c r="S11" i="7"/>
  <c r="D11" i="7"/>
  <c r="S10" i="7"/>
  <c r="S9" i="7"/>
  <c r="D9" i="7"/>
  <c r="J8" i="7"/>
  <c r="J23" i="7" s="1"/>
  <c r="K6" i="7"/>
  <c r="S6" i="7" s="1"/>
  <c r="S5" i="7"/>
  <c r="K4" i="7"/>
  <c r="S4" i="7" s="1"/>
  <c r="O50" i="7" l="1"/>
  <c r="E50" i="7"/>
  <c r="N50" i="7"/>
  <c r="R50" i="7"/>
  <c r="G50" i="7"/>
  <c r="S19" i="7"/>
  <c r="S14" i="7"/>
  <c r="K48" i="7"/>
  <c r="S8" i="7"/>
  <c r="D23" i="7"/>
  <c r="D50" i="7" s="1"/>
  <c r="I23" i="7"/>
  <c r="I50" i="7" s="1"/>
  <c r="S28" i="7"/>
  <c r="S18" i="7"/>
  <c r="S20" i="7"/>
  <c r="S33" i="7"/>
  <c r="L50" i="7"/>
  <c r="G53" i="7"/>
  <c r="K23" i="7"/>
  <c r="J48" i="7"/>
  <c r="J50" i="7" s="1"/>
  <c r="S26" i="7"/>
  <c r="H23" i="7"/>
  <c r="H50" i="7" s="1"/>
  <c r="S25" i="7"/>
  <c r="K50" i="7" l="1"/>
  <c r="S23" i="7"/>
  <c r="S48" i="7"/>
  <c r="S50" i="7" s="1"/>
  <c r="H52" i="7"/>
  <c r="H53" i="7" s="1"/>
  <c r="G55" i="7"/>
  <c r="H55" i="7" l="1"/>
  <c r="I52" i="7"/>
  <c r="I53" i="7" s="1"/>
  <c r="S20" i="2"/>
  <c r="J52" i="7" l="1"/>
  <c r="J53" i="7" s="1"/>
  <c r="I55" i="7"/>
  <c r="J55" i="7" l="1"/>
  <c r="K52" i="7"/>
  <c r="K53" i="7" s="1"/>
  <c r="L52" i="7" l="1"/>
  <c r="L53" i="7" s="1"/>
  <c r="K55" i="7"/>
  <c r="L55" i="7" l="1"/>
  <c r="M52" i="7"/>
  <c r="M53" i="7" s="1"/>
  <c r="M55" i="7" l="1"/>
  <c r="N52" i="7"/>
  <c r="N53" i="7" s="1"/>
  <c r="N55" i="7" l="1"/>
  <c r="O52" i="7"/>
  <c r="O53" i="7" s="1"/>
  <c r="H50" i="2"/>
  <c r="P52" i="7" l="1"/>
  <c r="P53" i="7" s="1"/>
  <c r="O55" i="7"/>
  <c r="F28" i="1"/>
  <c r="F22" i="1"/>
  <c r="P55" i="7" l="1"/>
  <c r="Q52" i="7"/>
  <c r="Q53" i="7" s="1"/>
  <c r="Q55" i="7" l="1"/>
  <c r="R52" i="7"/>
  <c r="R53" i="7" s="1"/>
  <c r="R55" i="7" s="1"/>
  <c r="S26" i="2"/>
  <c r="S29" i="2"/>
  <c r="S30" i="2"/>
  <c r="S31" i="2"/>
  <c r="S32" i="2"/>
  <c r="S33" i="2"/>
  <c r="S34" i="2"/>
  <c r="S36" i="2"/>
  <c r="S43" i="2"/>
  <c r="S45" i="2"/>
  <c r="S46" i="2"/>
  <c r="S47" i="2"/>
  <c r="S48" i="2"/>
  <c r="S49" i="2"/>
  <c r="S25" i="2"/>
  <c r="S5" i="2"/>
  <c r="S6" i="2"/>
  <c r="S8" i="2"/>
  <c r="S9" i="2"/>
  <c r="S10" i="2"/>
  <c r="S11" i="2"/>
  <c r="S13" i="2"/>
  <c r="S14" i="2"/>
  <c r="S15" i="2"/>
  <c r="S16" i="2"/>
  <c r="S17" i="2"/>
  <c r="S18" i="2"/>
  <c r="S19" i="2"/>
  <c r="S21" i="2"/>
  <c r="S22" i="2"/>
  <c r="S4" i="2"/>
  <c r="E23" i="2"/>
  <c r="G23" i="2"/>
  <c r="H23" i="2"/>
  <c r="H52" i="2" s="1"/>
  <c r="I23" i="2"/>
  <c r="J23" i="2"/>
  <c r="K23" i="2"/>
  <c r="L23" i="2"/>
  <c r="N23" i="2"/>
  <c r="P23" i="2"/>
  <c r="Q23" i="2"/>
  <c r="R23" i="2"/>
  <c r="E50" i="2"/>
  <c r="I50" i="2"/>
  <c r="J50" i="2"/>
  <c r="K50" i="2"/>
  <c r="L50" i="2"/>
  <c r="M50" i="2"/>
  <c r="N50" i="2"/>
  <c r="P50" i="2"/>
  <c r="Q50" i="2"/>
  <c r="R50" i="2"/>
  <c r="S28" i="2"/>
  <c r="D50" i="2"/>
  <c r="F25" i="1"/>
  <c r="F48" i="1" s="1"/>
  <c r="F23" i="1"/>
  <c r="H48" i="1"/>
  <c r="H11" i="1"/>
  <c r="H9" i="1"/>
  <c r="H23" i="1" l="1"/>
  <c r="F50" i="1"/>
  <c r="G50" i="2"/>
  <c r="G52" i="2" s="1"/>
  <c r="G55" i="2" s="1"/>
  <c r="R52" i="2"/>
  <c r="N52" i="2"/>
  <c r="J52" i="2"/>
  <c r="E52" i="2"/>
  <c r="S23" i="2"/>
  <c r="S50" i="2"/>
  <c r="K52" i="2"/>
  <c r="Q52" i="2"/>
  <c r="M52" i="2"/>
  <c r="I52" i="2"/>
  <c r="P52" i="2"/>
  <c r="L52" i="2"/>
  <c r="D23" i="2"/>
  <c r="D52" i="2" s="1"/>
  <c r="H50" i="1"/>
  <c r="H54" i="2" l="1"/>
  <c r="H55" i="2" s="1"/>
  <c r="I55" i="2" s="1"/>
  <c r="G57" i="2"/>
  <c r="S52" i="2"/>
  <c r="H57" i="2" l="1"/>
  <c r="J54" i="2"/>
  <c r="J55" i="2" s="1"/>
  <c r="I57" i="2"/>
  <c r="K54" i="2" l="1"/>
  <c r="K55" i="2" s="1"/>
  <c r="J57" i="2"/>
  <c r="L54" i="2" l="1"/>
  <c r="L55" i="2" s="1"/>
  <c r="M54" i="2" l="1"/>
  <c r="M55" i="2" s="1"/>
  <c r="N54" i="2" l="1"/>
  <c r="N55" i="2" s="1"/>
  <c r="O54" i="2" s="1"/>
  <c r="O55" i="2" s="1"/>
  <c r="M57" i="2"/>
  <c r="P54" i="2" l="1"/>
  <c r="P5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tc={19EAE042-05AA-4202-8DEB-EF6414FDBF19}</author>
    <author>tc={769C01EE-D27E-47EB-A3E1-4D4E896A620F}</author>
    <author>tc={3489FE52-D44A-4DDD-9812-84210BAE3D8E}</author>
    <author>tc={5A369F5E-E9A9-480A-8CB5-EA2784CDA3CE}</author>
    <author>tc={74A03148-D81D-4234-8CDE-2D3EE938EC55}</author>
    <author>tc={59A5276B-E166-4125-82E5-E405389AD78F}</author>
    <author>tc={0377A874-A669-45A2-9124-4F0BA09069F4}</author>
  </authors>
  <commentList>
    <comment ref="K20" authorId="0" shapeId="0" xr:uid="{00000000-0006-0000-0100-000001000000}">
      <text>
        <r>
          <rPr>
            <sz val="11"/>
            <color rgb="FF000000"/>
            <rFont val="Calibri"/>
            <family val="2"/>
          </rPr>
          <t xml:space="preserve">[Threaded comment]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Your version of Excel allows you to read this threaded comment; however, any edits to it will get removed if the file is opened in a newer version of Excel. Learn more: https://go.microsoft.com/fwlink/?linkid=870924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Comment:
</t>
        </r>
        <r>
          <rPr>
            <sz val="11"/>
            <color rgb="FF000000"/>
            <rFont val="Calibri"/>
            <family val="2"/>
          </rPr>
          <t xml:space="preserve">    $385 from Duncan Martin - deducted from Joel's salary.</t>
        </r>
      </text>
    </comment>
    <comment ref="I26" authorId="1" shapeId="0" xr:uid="{00000000-0006-0000-0100-000002000000}">
      <text>
        <r>
          <rPr>
            <sz val="11"/>
            <color rgb="FF000000"/>
            <rFont val="Calibri"/>
            <family val="2"/>
          </rPr>
          <t xml:space="preserve">[Threaded comment]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Your version of Excel allows you to read this threaded comment; however, any edits to it will get removed if the file is opened in a newer version of Excel. Learn more: https://go.microsoft.com/fwlink/?linkid=870924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Comment:
</t>
        </r>
        <r>
          <rPr>
            <sz val="11"/>
            <color rgb="FF000000"/>
            <rFont val="Calibri"/>
            <family val="2"/>
          </rPr>
          <t xml:space="preserve">    $3000 for new uniforms authorized via email.</t>
        </r>
      </text>
    </comment>
    <comment ref="H32" authorId="2" shapeId="0" xr:uid="{00000000-0006-0000-0100-000003000000}">
      <text>
        <r>
          <rPr>
            <sz val="11"/>
            <color rgb="FF000000"/>
            <rFont val="Calibri"/>
            <family val="2"/>
          </rPr>
          <t xml:space="preserve">[Threaded comment]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Your version of Excel allows you to read this threaded comment; however, any edits to it will get removed if the file is opened in a newer version of Excel. Learn more: https://go.microsoft.com/fwlink/?linkid=870924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Comment:
</t>
        </r>
        <r>
          <rPr>
            <sz val="11"/>
            <color rgb="FF000000"/>
            <rFont val="Calibri"/>
            <family val="2"/>
          </rPr>
          <t xml:space="preserve">    Authorized by board for reimbursement 2-13/19 meeting</t>
        </r>
      </text>
    </comment>
    <comment ref="L44" authorId="3" shapeId="0" xr:uid="{00000000-0006-0000-0100-000004000000}">
      <text>
        <r>
          <rPr>
            <sz val="11"/>
            <color rgb="FF000000"/>
            <rFont val="Calibri"/>
            <family val="2"/>
          </rPr>
          <t xml:space="preserve">[Threaded comment]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Your version of Excel allows you to read this threaded comment; however, any edits to it will get removed if the file is opened in a newer version of Excel. Learn more: https://go.microsoft.com/fwlink/?linkid=870924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Comment:
</t>
        </r>
        <r>
          <rPr>
            <sz val="11"/>
            <color rgb="FF000000"/>
            <rFont val="Calibri"/>
            <family val="2"/>
          </rPr>
          <t xml:space="preserve">    130 and 260 paid as cash-see umpire logs</t>
        </r>
      </text>
    </comment>
    <comment ref="I48" authorId="4" shapeId="0" xr:uid="{00000000-0006-0000-0100-000005000000}">
      <text>
        <r>
          <rPr>
            <sz val="11"/>
            <color rgb="FF000000"/>
            <rFont val="Calibri"/>
            <family val="2"/>
          </rPr>
          <t xml:space="preserve">[Threaded comment]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Your version of Excel allows you to read this threaded comment; however, any edits to it will get removed if the file is opened in a newer version of Excel. Learn more: https://go.microsoft.com/fwlink/?linkid=870924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Comment:
</t>
        </r>
        <r>
          <rPr>
            <sz val="11"/>
            <color rgb="FF000000"/>
            <rFont val="Calibri"/>
            <family val="2"/>
          </rPr>
          <t xml:space="preserve">    batting t's for indoor facility</t>
        </r>
      </text>
    </comment>
    <comment ref="K48" authorId="5" shapeId="0" xr:uid="{00000000-0006-0000-0100-000006000000}">
      <text>
        <r>
          <rPr>
            <sz val="11"/>
            <color rgb="FF000000"/>
            <rFont val="Calibri"/>
            <family val="2"/>
          </rPr>
          <t xml:space="preserve">[Threaded comment]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Your version of Excel allows you to read this threaded comment; however, any edits to it will get removed if the file is opened in a newer version of Excel. Learn more: https://go.microsoft.com/fwlink/?linkid=870924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Comment:
</t>
        </r>
        <r>
          <rPr>
            <sz val="11"/>
            <color rgb="FF000000"/>
            <rFont val="Calibri"/>
            <family val="2"/>
          </rPr>
          <t xml:space="preserve">    Safeway - Flowers for Mother's Day game</t>
        </r>
      </text>
    </comment>
    <comment ref="L48" authorId="6" shapeId="0" xr:uid="{00000000-0006-0000-0100-000007000000}">
      <text>
        <r>
          <rPr>
            <sz val="11"/>
            <color rgb="FF000000"/>
            <rFont val="Calibri"/>
            <family val="2"/>
          </rPr>
          <t xml:space="preserve">[Threaded comment]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Your version of Excel allows you to read this threaded comment; however, any edits to it will get removed if the file is opened in a newer version of Excel. Learn more: https://go.microsoft.com/fwlink/?linkid=870924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Comment:
</t>
        </r>
        <r>
          <rPr>
            <sz val="11"/>
            <color rgb="FF000000"/>
            <rFont val="Calibri"/>
            <family val="2"/>
          </rPr>
          <t xml:space="preserve">    Wristbands for tournaments $30
</t>
        </r>
        <r>
          <rPr>
            <sz val="11"/>
            <color rgb="FF000000"/>
            <rFont val="Calibri"/>
            <family val="2"/>
          </rPr>
          <t xml:space="preserve">Reply:
</t>
        </r>
        <r>
          <rPr>
            <sz val="11"/>
            <color rgb="FF000000"/>
            <rFont val="Calibri"/>
            <family val="2"/>
          </rPr>
          <t xml:space="preserve">    $5.26 for lineup cards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tc={873E8669-202E-4394-930F-2F96A7FB4DE4}</author>
    <author>tc={404B1EED-60F2-49DD-A166-2385DC83632E}</author>
    <author>tc={49DDA8D3-8BEE-40D7-B9F6-AA866EE2EBD5}</author>
    <author>tc={99C23192-F84A-46CC-A4A4-16A3D04670A5}</author>
    <author>tc={461B0B7C-EAB2-4568-ADED-305D965BAA1B}</author>
    <author>tc={F7593DDB-9E5C-40C2-A192-9B2C519F0445}</author>
  </authors>
  <commentList>
    <comment ref="K20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$385 from Duncan Martin - deducted from Joel's salary.</t>
        </r>
      </text>
    </comment>
    <comment ref="I26" authorId="1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$3000 for new uniforms authorized via email.</t>
        </r>
      </text>
    </comment>
    <comment ref="H33" authorId="2" shapeId="0" xr:uid="{00000000-0006-0000-0200-000003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Authorized by board for reimbursement 2-13/19 meeting</t>
        </r>
      </text>
    </comment>
    <comment ref="H46" authorId="3" shapeId="0" xr:uid="{00000000-0006-0000-0200-000004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batting t's for indoor facility</t>
        </r>
      </text>
    </comment>
    <comment ref="I46" authorId="4" shapeId="0" xr:uid="{00000000-0006-0000-0200-000005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Additional season pass printing</t>
        </r>
      </text>
    </comment>
    <comment ref="K46" authorId="5" shapeId="0" xr:uid="{00000000-0006-0000-0200-000006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Safeway - Flowers for Mother's Day game</t>
        </r>
      </text>
    </comment>
  </commentList>
</comments>
</file>

<file path=xl/sharedStrings.xml><?xml version="1.0" encoding="utf-8"?>
<sst xmlns="http://schemas.openxmlformats.org/spreadsheetml/2006/main" count="240" uniqueCount="98">
  <si>
    <t>2019 Budget---Income &amp; Expenses</t>
  </si>
  <si>
    <t>INCOME</t>
  </si>
  <si>
    <t>Actual</t>
  </si>
  <si>
    <t>Budget</t>
  </si>
  <si>
    <t>Admissions</t>
  </si>
  <si>
    <t>Legion</t>
  </si>
  <si>
    <t>Teener</t>
  </si>
  <si>
    <t>Donations</t>
  </si>
  <si>
    <t>Expedition League</t>
  </si>
  <si>
    <t>Concessions/Equipment</t>
  </si>
  <si>
    <t>Field Equipment Rental</t>
  </si>
  <si>
    <t>Outfield Signs</t>
  </si>
  <si>
    <t>Sound System Rent</t>
  </si>
  <si>
    <t>Fundraisers</t>
  </si>
  <si>
    <t>Chili Feed</t>
  </si>
  <si>
    <t>50/50 Chili Feed only</t>
  </si>
  <si>
    <t>Raffle</t>
  </si>
  <si>
    <t>Merchandise</t>
  </si>
  <si>
    <t>Outfield Signs Teener Field</t>
  </si>
  <si>
    <t>Programs</t>
  </si>
  <si>
    <t>Season Passes</t>
  </si>
  <si>
    <t>Tourney Registrations</t>
  </si>
  <si>
    <t>Miscellaneous</t>
  </si>
  <si>
    <t>TOTAL INCOME</t>
  </si>
  <si>
    <t>EXPENSES</t>
  </si>
  <si>
    <t>Acctg/State Fees/Taxes</t>
  </si>
  <si>
    <t>Equipment for players</t>
  </si>
  <si>
    <t>Insurance/Liability</t>
  </si>
  <si>
    <t>Maintenance Fields</t>
  </si>
  <si>
    <t>Office Supplies</t>
  </si>
  <si>
    <t>Road Trips</t>
  </si>
  <si>
    <t>Bus</t>
  </si>
  <si>
    <t>Lodging</t>
  </si>
  <si>
    <t>Meals</t>
  </si>
  <si>
    <t>Coaches</t>
  </si>
  <si>
    <t>Umpires</t>
  </si>
  <si>
    <t>Tournament Registrations</t>
  </si>
  <si>
    <t>Umpire Scheduler</t>
  </si>
  <si>
    <t>Webpage Fee</t>
  </si>
  <si>
    <t>Loan Repayment</t>
  </si>
  <si>
    <t>TOTAL EXPENSES</t>
  </si>
  <si>
    <t>Silent Auction Chili Feed</t>
  </si>
  <si>
    <t>MWA Matching funds 2,500?</t>
  </si>
  <si>
    <t>Optimist Grant/Pancake Feed</t>
  </si>
  <si>
    <t>Tournament</t>
  </si>
  <si>
    <t>State B gate/Insurance reimbursement</t>
  </si>
  <si>
    <t>decrease # ordered to 1000 or 1500</t>
  </si>
  <si>
    <t>Notes</t>
  </si>
  <si>
    <t>(2018 amount plus 2.5%, per contract)</t>
  </si>
  <si>
    <t>Net Income (Loss)</t>
  </si>
  <si>
    <t>?</t>
  </si>
  <si>
    <t>$41/game for 28 games</t>
  </si>
  <si>
    <t>$61.50/game for 28 games</t>
  </si>
  <si>
    <t>Salaries/Wages</t>
  </si>
  <si>
    <t>Items for sale at gate</t>
  </si>
  <si>
    <t>sales of items at gate</t>
  </si>
  <si>
    <t>SD SOS $10 and Sales Tax of $990</t>
  </si>
  <si>
    <t>cash prizes ($1k, $300 &amp; $100)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</si>
  <si>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</si>
  <si>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</si>
  <si>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</si>
  <si>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</si>
  <si>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</si>
  <si>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</si>
  <si>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</si>
  <si>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</si>
  <si>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</si>
  <si>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</si>
  <si>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</si>
  <si>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</si>
  <si>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</si>
  <si>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Road Trips:</t>
  </si>
  <si>
    <t>Fundraisers:</t>
  </si>
  <si>
    <t>Salaries/Wages:</t>
  </si>
  <si>
    <t>Admissions:</t>
  </si>
  <si>
    <t>Expedition League:</t>
  </si>
  <si>
    <t>Cash Balance Ending</t>
  </si>
  <si>
    <t>Cash Balance Beginning</t>
  </si>
  <si>
    <t>Variance</t>
  </si>
  <si>
    <t>Cash Reconciliation</t>
  </si>
  <si>
    <t>Adjusted Bank Statement Balance</t>
  </si>
  <si>
    <t>*Cash Change</t>
  </si>
  <si>
    <t>*Cash Change (just two bags)</t>
  </si>
  <si>
    <t>Expectations</t>
  </si>
  <si>
    <t>*authorized by board yet:</t>
  </si>
  <si>
    <t>$40 two coaches shells</t>
  </si>
  <si>
    <t>$700 baseballs</t>
  </si>
  <si>
    <t>$400 pants</t>
  </si>
  <si>
    <t>$120 tablets</t>
  </si>
  <si>
    <t>Insurance/Liability/Registrations</t>
  </si>
  <si>
    <t>Teeners</t>
  </si>
  <si>
    <t xml:space="preserve"> </t>
  </si>
  <si>
    <t>2020 Budget---Income &amp; Expenses</t>
  </si>
  <si>
    <t>Camp</t>
  </si>
  <si>
    <t>Transportation</t>
  </si>
  <si>
    <t>Donations/Grants</t>
  </si>
  <si>
    <t xml:space="preserve">  Teeners</t>
  </si>
  <si>
    <t>Office Supplies/PO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</si>
</sst>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14" fontId="1" fillId="0" borderId="0" xfId="0" applyNumberFormat="1" applyFont="1"/>
    <xf numFmtId="4" fontId="0" fillId="0" borderId="1" xfId="0" applyNumberFormat="1" applyBorder="1"/>
    <xf numFmtId="0" fontId="0" fillId="0" borderId="1" xfId="0" applyBorder="1"/>
    <xf numFmtId="4" fontId="1" fillId="0" borderId="2" xfId="0" applyNumberFormat="1" applyFont="1" applyBorder="1"/>
    <xf numFmtId="0" fontId="0" fillId="0" borderId="2" xfId="0" applyBorder="1"/>
    <xf numFmtId="4" fontId="1" fillId="0" borderId="3" xfId="0" applyNumberFormat="1" applyFont="1" applyBorder="1"/>
    <xf numFmtId="0" fontId="1" fillId="0" borderId="3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" fillId="0" borderId="0" xfId="0" applyNumberFormat="1" applyFont="1" applyAlignment="1">
      <alignment horizontal="center"/>
    </xf>
    <xf numFmtId="164" fontId="0" fillId="0" borderId="0" xfId="0" applyNumberFormat="1"/>
    <xf numFmtId="164" fontId="1" fillId="0" borderId="0" xfId="0" applyNumberFormat="1" applyFont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0" fillId="0" borderId="4" xfId="0" applyNumberFormat="1" applyBorder="1"/>
    <xf numFmtId="164" fontId="0" fillId="0" borderId="1" xfId="0" applyNumberFormat="1" applyBorder="1"/>
    <xf numFmtId="4" fontId="0" fillId="0" borderId="0" xfId="0" applyNumberFormat="1" applyFill="1"/>
    <xf numFmtId="0" fontId="0" fillId="0" borderId="0" xfId="0" applyAlignment="1">
      <alignment horizontal="left" indent="1"/>
    </xf>
    <xf numFmtId="4" fontId="1" fillId="0" borderId="0" xfId="0" applyNumberFormat="1" applyFont="1" applyFill="1"/>
    <xf numFmtId="0" fontId="1" fillId="0" borderId="0" xfId="0" applyFont="1" applyFill="1"/>
    <xf numFmtId="0" fontId="0" fillId="0" borderId="0" xfId="0" applyFill="1"/>
    <xf numFmtId="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eneui, MichelleM" id="{EC84F48D-7CFD-44E3-99DD-BA39ABF0CC70}" userId="Deneui, MichelleM" providerId="None"/>
  <person displayName="Deneui, Michelle M" id="{A9BD277A-20C8-47EE-88DE-73242A949112}" userId="Deneui, Michelle M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0" dT="2019-06-01T14:24:53.05" personId="{A9BD277A-20C8-47EE-88DE-73242A949112}" id="{19EAE042-05AA-4202-8DEB-EF6414FDBF19}">
    <text>$385 from Duncan Martin - deducted from Joel's salary.</text>
  </threadedComment>
  <threadedComment ref="I26" dT="2019-03-17T17:21:04.78" personId="{EC84F48D-7CFD-44E3-99DD-BA39ABF0CC70}" id="{769C01EE-D27E-47EB-A3E1-4D4E896A620F}">
    <text>$3000 for new uniforms authorized via email.</text>
  </threadedComment>
  <threadedComment ref="H33" dT="2019-03-17T17:21:46.13" personId="{EC84F48D-7CFD-44E3-99DD-BA39ABF0CC70}" id="{3489FE52-D44A-4DDD-9812-84210BAE3D8E}">
    <text>Authorized by board for reimbursement 2-13/19 meeting</text>
  </threadedComment>
  <threadedComment ref="L47" dT="2019-06-16T23:25:56.45" personId="{A9BD277A-20C8-47EE-88DE-73242A949112}" id="{5A369F5E-E9A9-480A-8CB5-EA2784CDA3CE}">
    <text>130 and 260 paid as cash-see umpire logs</text>
  </threadedComment>
  <threadedComment ref="H51" dT="2019-03-03T22:27:19.85" personId="{EC84F48D-7CFD-44E3-99DD-BA39ABF0CC70}" id="{74A03148-D81D-4234-8CDE-2D3EE938EC55}">
    <text>batting t's for indoor facility</text>
  </threadedComment>
  <threadedComment ref="I51" dT="2019-04-09T12:16:59.12" personId="{EC84F48D-7CFD-44E3-99DD-BA39ABF0CC70}" id="{64E9D539-7181-4B2B-9668-63F198904737}">
    <text>Additional season pass printing</text>
  </threadedComment>
  <threadedComment ref="K51" dT="2019-06-01T14:38:04.94" personId="{A9BD277A-20C8-47EE-88DE-73242A949112}" id="{59A5276B-E166-4125-82E5-E405389AD78F}">
    <text>Safeway - Flowers for Mother's Day game</text>
  </threadedComment>
  <threadedComment ref="L51" dT="2019-06-16T21:49:08.08" personId="{A9BD277A-20C8-47EE-88DE-73242A949112}" id="{0377A874-A669-45A2-9124-4F0BA09069F4}">
    <text>Wristbands for tournaments $30</text>
  </threadedComment>
  <threadedComment ref="L51" dT="2019-08-03T15:38:56.67" personId="{A9BD277A-20C8-47EE-88DE-73242A949112}" id="{C84101A2-F56B-4F26-BFE8-0E2B65412F6D}" parentId="{0377A874-A669-45A2-9124-4F0BA09069F4}">
    <text>$5.26 for lineup cards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K20" dT="2019-06-01T14:24:53.05" personId="{A9BD277A-20C8-47EE-88DE-73242A949112}" id="{873E8669-202E-4394-930F-2F96A7FB4DE4}">
    <text>$385 from Duncan Martin - deducted from Joel's salary.</text>
  </threadedComment>
  <threadedComment ref="I26" dT="2019-03-17T17:21:04.78" personId="{EC84F48D-7CFD-44E3-99DD-BA39ABF0CC70}" id="{404B1EED-60F2-49DD-A166-2385DC83632E}">
    <text>$3000 for new uniforms authorized via email.</text>
  </threadedComment>
  <threadedComment ref="H33" dT="2019-03-17T17:21:46.13" personId="{EC84F48D-7CFD-44E3-99DD-BA39ABF0CC70}" id="{49DDA8D3-8BEE-40D7-B9F6-AA866EE2EBD5}">
    <text>Authorized by board for reimbursement 2-13/19 meeting</text>
  </threadedComment>
  <threadedComment ref="H46" dT="2019-03-03T22:27:19.85" personId="{EC84F48D-7CFD-44E3-99DD-BA39ABF0CC70}" id="{99C23192-F84A-46CC-A4A4-16A3D04670A5}">
    <text>batting t's for indoor facility</text>
  </threadedComment>
  <threadedComment ref="I46" dT="2019-04-09T12:16:59.12" personId="{EC84F48D-7CFD-44E3-99DD-BA39ABF0CC70}" id="{461B0B7C-EAB2-4568-ADED-305D965BAA1B}">
    <text>Additional season pass printing</text>
  </threadedComment>
  <threadedComment ref="K46" dT="2019-06-01T14:38:04.94" personId="{A9BD277A-20C8-47EE-88DE-73242A949112}" id="{F7593DDB-9E5C-40C2-A192-9B2C519F0445}">
    <text>Safeway - Flowers for Mother's Day game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workbookViewId="0">
      <selection activeCell="H20" sqref="H20"/>
    </sheetView>
  </sheetViews>
  <sheetFormatPr baseColWidth="10" defaultColWidth="8.83203125" defaultRowHeight="15" x14ac:dyDescent="0.2"/>
  <cols>
    <col min="1" max="1" width="9.5" bestFit="1" customWidth="1"/>
    <col min="6" max="6" width="9.1640625" style="2"/>
    <col min="8" max="8" width="9.1640625" style="2"/>
    <col min="9" max="9" width="36" bestFit="1" customWidth="1"/>
  </cols>
  <sheetData>
    <row r="1" spans="1:9" x14ac:dyDescent="0.2">
      <c r="A1" s="1" t="s">
        <v>0</v>
      </c>
      <c r="F1" s="11">
        <v>2018</v>
      </c>
      <c r="G1" s="12"/>
      <c r="H1" s="11">
        <v>2019</v>
      </c>
    </row>
    <row r="2" spans="1:9" x14ac:dyDescent="0.2">
      <c r="A2" s="1" t="s">
        <v>1</v>
      </c>
      <c r="F2" s="13" t="s">
        <v>2</v>
      </c>
      <c r="G2" s="12"/>
      <c r="H2" s="13" t="s">
        <v>3</v>
      </c>
      <c r="I2" s="1" t="s">
        <v>47</v>
      </c>
    </row>
    <row r="3" spans="1:9" x14ac:dyDescent="0.2">
      <c r="B3" s="1" t="s">
        <v>4</v>
      </c>
    </row>
    <row r="4" spans="1:9" x14ac:dyDescent="0.2">
      <c r="C4" t="s">
        <v>5</v>
      </c>
      <c r="F4" s="2">
        <v>8915.5</v>
      </c>
      <c r="H4" s="2">
        <v>8000</v>
      </c>
    </row>
    <row r="5" spans="1:9" x14ac:dyDescent="0.2">
      <c r="C5" t="s">
        <v>6</v>
      </c>
      <c r="F5" s="2">
        <v>1573</v>
      </c>
      <c r="H5" s="2">
        <v>1500</v>
      </c>
      <c r="I5" t="s">
        <v>44</v>
      </c>
    </row>
    <row r="6" spans="1:9" x14ac:dyDescent="0.2">
      <c r="B6" s="1" t="s">
        <v>7</v>
      </c>
      <c r="F6" s="2">
        <v>1650</v>
      </c>
      <c r="H6" s="2">
        <v>1000</v>
      </c>
      <c r="I6" t="s">
        <v>43</v>
      </c>
    </row>
    <row r="7" spans="1:9" x14ac:dyDescent="0.2">
      <c r="B7" s="1" t="s">
        <v>8</v>
      </c>
    </row>
    <row r="8" spans="1:9" x14ac:dyDescent="0.2">
      <c r="C8" t="s">
        <v>9</v>
      </c>
      <c r="F8" s="2">
        <v>3994.75</v>
      </c>
      <c r="H8" s="2">
        <v>2940.73</v>
      </c>
      <c r="I8" t="s">
        <v>50</v>
      </c>
    </row>
    <row r="9" spans="1:9" x14ac:dyDescent="0.2">
      <c r="C9" t="s">
        <v>10</v>
      </c>
      <c r="F9" s="2">
        <v>1120</v>
      </c>
      <c r="H9" s="2">
        <f>41*28</f>
        <v>1148</v>
      </c>
      <c r="I9" t="s">
        <v>51</v>
      </c>
    </row>
    <row r="10" spans="1:9" x14ac:dyDescent="0.2">
      <c r="C10" t="s">
        <v>11</v>
      </c>
      <c r="F10" s="2">
        <v>22670</v>
      </c>
      <c r="H10" s="2">
        <v>23236.75</v>
      </c>
      <c r="I10" t="s">
        <v>48</v>
      </c>
    </row>
    <row r="11" spans="1:9" x14ac:dyDescent="0.2">
      <c r="C11" t="s">
        <v>12</v>
      </c>
      <c r="F11" s="2">
        <v>1680</v>
      </c>
      <c r="H11" s="2">
        <f>61.5*28</f>
        <v>1722</v>
      </c>
      <c r="I11" t="s">
        <v>52</v>
      </c>
    </row>
    <row r="12" spans="1:9" x14ac:dyDescent="0.2">
      <c r="B12" s="1" t="s">
        <v>13</v>
      </c>
    </row>
    <row r="13" spans="1:9" x14ac:dyDescent="0.2">
      <c r="C13" t="s">
        <v>41</v>
      </c>
      <c r="F13" s="2">
        <v>1373</v>
      </c>
      <c r="H13" s="2">
        <v>1000</v>
      </c>
    </row>
    <row r="14" spans="1:9" x14ac:dyDescent="0.2">
      <c r="C14" t="s">
        <v>14</v>
      </c>
      <c r="F14" s="2">
        <v>5816</v>
      </c>
      <c r="H14" s="2">
        <v>5450</v>
      </c>
      <c r="I14" t="s">
        <v>42</v>
      </c>
    </row>
    <row r="15" spans="1:9" x14ac:dyDescent="0.2">
      <c r="C15" t="s">
        <v>15</v>
      </c>
      <c r="F15" s="2">
        <v>386</v>
      </c>
      <c r="H15" s="2">
        <v>300</v>
      </c>
    </row>
    <row r="16" spans="1:9" x14ac:dyDescent="0.2">
      <c r="C16" t="s">
        <v>16</v>
      </c>
      <c r="F16" s="2">
        <v>4335</v>
      </c>
      <c r="H16" s="2">
        <v>3000</v>
      </c>
    </row>
    <row r="17" spans="1:9" x14ac:dyDescent="0.2">
      <c r="B17" s="1" t="s">
        <v>17</v>
      </c>
      <c r="F17" s="2">
        <v>0</v>
      </c>
      <c r="H17" s="2">
        <v>0</v>
      </c>
      <c r="I17" t="s">
        <v>55</v>
      </c>
    </row>
    <row r="18" spans="1:9" x14ac:dyDescent="0.2">
      <c r="B18" s="1" t="s">
        <v>18</v>
      </c>
      <c r="F18" s="2">
        <v>5550</v>
      </c>
      <c r="H18" s="2">
        <v>5000</v>
      </c>
    </row>
    <row r="19" spans="1:9" x14ac:dyDescent="0.2">
      <c r="B19" s="1" t="s">
        <v>19</v>
      </c>
      <c r="F19" s="2">
        <v>7570</v>
      </c>
      <c r="H19" s="2">
        <v>7000</v>
      </c>
    </row>
    <row r="20" spans="1:9" x14ac:dyDescent="0.2">
      <c r="B20" s="1" t="s">
        <v>20</v>
      </c>
      <c r="F20" s="2">
        <v>20680</v>
      </c>
      <c r="H20" s="2">
        <v>23000</v>
      </c>
    </row>
    <row r="21" spans="1:9" x14ac:dyDescent="0.2">
      <c r="B21" s="1" t="s">
        <v>21</v>
      </c>
      <c r="F21" s="2">
        <v>1150</v>
      </c>
      <c r="H21" s="2">
        <v>1200</v>
      </c>
    </row>
    <row r="22" spans="1:9" x14ac:dyDescent="0.2">
      <c r="B22" s="1" t="s">
        <v>22</v>
      </c>
      <c r="F22" s="2">
        <f>339+11.59+1002.8+622+200+600+250</f>
        <v>3025.39</v>
      </c>
      <c r="H22" s="2">
        <v>500</v>
      </c>
      <c r="I22" t="s">
        <v>45</v>
      </c>
    </row>
    <row r="23" spans="1:9" x14ac:dyDescent="0.2">
      <c r="A23" s="1" t="s">
        <v>23</v>
      </c>
      <c r="F23" s="7">
        <f>SUM(F4:F22)</f>
        <v>91488.639999999999</v>
      </c>
      <c r="G23" s="8"/>
      <c r="H23" s="7">
        <f>SUM(H4:H22)</f>
        <v>85997.48</v>
      </c>
    </row>
    <row r="24" spans="1:9" x14ac:dyDescent="0.2">
      <c r="A24" s="1" t="s">
        <v>24</v>
      </c>
    </row>
    <row r="25" spans="1:9" x14ac:dyDescent="0.2">
      <c r="B25" s="1" t="s">
        <v>25</v>
      </c>
      <c r="F25" s="2">
        <f>1013.75+718.88</f>
        <v>1732.63</v>
      </c>
      <c r="H25" s="2">
        <v>1000</v>
      </c>
      <c r="I25" t="s">
        <v>56</v>
      </c>
    </row>
    <row r="26" spans="1:9" x14ac:dyDescent="0.2">
      <c r="B26" s="1" t="s">
        <v>26</v>
      </c>
      <c r="F26" s="2">
        <v>3765.69</v>
      </c>
      <c r="H26" s="2">
        <v>4000</v>
      </c>
    </row>
    <row r="27" spans="1:9" x14ac:dyDescent="0.2">
      <c r="B27" s="1" t="s">
        <v>13</v>
      </c>
    </row>
    <row r="28" spans="1:9" x14ac:dyDescent="0.2">
      <c r="C28" t="s">
        <v>14</v>
      </c>
      <c r="F28" s="2">
        <f>1908.55+75</f>
        <v>1983.55</v>
      </c>
      <c r="H28" s="2">
        <v>2100</v>
      </c>
    </row>
    <row r="29" spans="1:9" x14ac:dyDescent="0.2">
      <c r="C29" t="s">
        <v>16</v>
      </c>
      <c r="F29" s="2">
        <v>1242.67</v>
      </c>
      <c r="H29" s="2">
        <v>1400</v>
      </c>
      <c r="I29" t="s">
        <v>57</v>
      </c>
    </row>
    <row r="30" spans="1:9" x14ac:dyDescent="0.2">
      <c r="B30" s="1" t="s">
        <v>27</v>
      </c>
      <c r="F30" s="2">
        <v>622</v>
      </c>
      <c r="H30" s="2">
        <v>700</v>
      </c>
    </row>
    <row r="31" spans="1:9" x14ac:dyDescent="0.2">
      <c r="B31" s="1" t="s">
        <v>28</v>
      </c>
      <c r="F31" s="2">
        <v>1654.74</v>
      </c>
      <c r="H31" s="2">
        <v>2000</v>
      </c>
    </row>
    <row r="32" spans="1:9" x14ac:dyDescent="0.2">
      <c r="B32" s="1" t="s">
        <v>17</v>
      </c>
      <c r="F32" s="2">
        <v>0</v>
      </c>
      <c r="H32" s="2">
        <v>0</v>
      </c>
      <c r="I32" t="s">
        <v>54</v>
      </c>
    </row>
    <row r="33" spans="1:9" x14ac:dyDescent="0.2">
      <c r="B33" s="1" t="s">
        <v>29</v>
      </c>
      <c r="F33" s="2">
        <v>181</v>
      </c>
      <c r="H33" s="2">
        <v>200</v>
      </c>
    </row>
    <row r="34" spans="1:9" x14ac:dyDescent="0.2">
      <c r="B34" s="1" t="s">
        <v>18</v>
      </c>
      <c r="F34" s="2">
        <v>532.5</v>
      </c>
      <c r="H34" s="2">
        <v>500</v>
      </c>
    </row>
    <row r="35" spans="1:9" x14ac:dyDescent="0.2">
      <c r="B35" s="1" t="s">
        <v>19</v>
      </c>
      <c r="F35" s="2">
        <v>1810.5</v>
      </c>
      <c r="H35" s="2">
        <v>1200</v>
      </c>
      <c r="I35" t="s">
        <v>46</v>
      </c>
    </row>
    <row r="36" spans="1:9" x14ac:dyDescent="0.2">
      <c r="B36" s="1" t="s">
        <v>30</v>
      </c>
    </row>
    <row r="37" spans="1:9" x14ac:dyDescent="0.2">
      <c r="C37" t="s">
        <v>31</v>
      </c>
      <c r="F37" s="2">
        <v>21375</v>
      </c>
      <c r="H37" s="2">
        <v>23000</v>
      </c>
    </row>
    <row r="38" spans="1:9" x14ac:dyDescent="0.2">
      <c r="C38" t="s">
        <v>32</v>
      </c>
      <c r="F38" s="2">
        <v>6996.62</v>
      </c>
      <c r="H38" s="2">
        <v>6500</v>
      </c>
    </row>
    <row r="39" spans="1:9" x14ac:dyDescent="0.2">
      <c r="C39" t="s">
        <v>33</v>
      </c>
      <c r="F39" s="2">
        <v>1322.38</v>
      </c>
      <c r="H39" s="2">
        <v>1500</v>
      </c>
    </row>
    <row r="40" spans="1:9" x14ac:dyDescent="0.2">
      <c r="B40" s="1" t="s">
        <v>53</v>
      </c>
    </row>
    <row r="41" spans="1:9" x14ac:dyDescent="0.2">
      <c r="C41" t="s">
        <v>34</v>
      </c>
      <c r="F41" s="2">
        <v>22000</v>
      </c>
      <c r="H41" s="2">
        <v>26500</v>
      </c>
    </row>
    <row r="42" spans="1:9" x14ac:dyDescent="0.2">
      <c r="C42" t="s">
        <v>35</v>
      </c>
      <c r="F42" s="2">
        <v>9245</v>
      </c>
      <c r="H42" s="2">
        <v>10000</v>
      </c>
    </row>
    <row r="43" spans="1:9" x14ac:dyDescent="0.2">
      <c r="B43" s="1" t="s">
        <v>36</v>
      </c>
      <c r="F43" s="2">
        <v>450</v>
      </c>
      <c r="H43" s="2">
        <v>450</v>
      </c>
    </row>
    <row r="44" spans="1:9" x14ac:dyDescent="0.2">
      <c r="B44" s="1" t="s">
        <v>37</v>
      </c>
      <c r="F44" s="2">
        <v>500</v>
      </c>
      <c r="H44" s="2">
        <v>500</v>
      </c>
    </row>
    <row r="45" spans="1:9" x14ac:dyDescent="0.2">
      <c r="B45" s="1" t="s">
        <v>38</v>
      </c>
      <c r="F45" s="2">
        <v>450</v>
      </c>
      <c r="H45" s="2">
        <v>450</v>
      </c>
    </row>
    <row r="46" spans="1:9" x14ac:dyDescent="0.2">
      <c r="B46" s="1" t="s">
        <v>22</v>
      </c>
      <c r="F46" s="2">
        <v>157.86000000000001</v>
      </c>
      <c r="H46" s="2">
        <v>250</v>
      </c>
    </row>
    <row r="47" spans="1:9" x14ac:dyDescent="0.2">
      <c r="B47" s="1" t="s">
        <v>39</v>
      </c>
      <c r="F47" s="5">
        <v>12558.3</v>
      </c>
      <c r="G47" s="6"/>
      <c r="H47" s="5">
        <v>0</v>
      </c>
    </row>
    <row r="48" spans="1:9" x14ac:dyDescent="0.2">
      <c r="A48" s="1" t="s">
        <v>40</v>
      </c>
      <c r="F48" s="7">
        <f>SUM(F25:F47)</f>
        <v>88580.44</v>
      </c>
      <c r="G48" s="8"/>
      <c r="H48" s="7">
        <f>SUM(H25:H47)</f>
        <v>82250</v>
      </c>
    </row>
    <row r="49" spans="1:8" x14ac:dyDescent="0.2">
      <c r="A49" s="4"/>
    </row>
    <row r="50" spans="1:8" s="1" customFormat="1" ht="16" thickBot="1" x14ac:dyDescent="0.25">
      <c r="A50" s="1" t="s">
        <v>49</v>
      </c>
      <c r="F50" s="9">
        <f>F23-F48</f>
        <v>2908.1999999999971</v>
      </c>
      <c r="G50" s="10"/>
      <c r="H50" s="9">
        <f>H23-H48</f>
        <v>3747.4799999999959</v>
      </c>
    </row>
    <row r="51" spans="1:8" ht="16" thickTop="1" x14ac:dyDescent="0.2"/>
  </sheetData>
  <pageMargins left="0.7" right="0.7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8"/>
  <sheetViews>
    <sheetView tabSelected="1" topLeftCell="A27" zoomScale="93" zoomScaleNormal="90" workbookViewId="0">
      <selection activeCell="S45" sqref="S45"/>
    </sheetView>
  </sheetViews>
  <sheetFormatPr baseColWidth="10" defaultColWidth="8.83203125" defaultRowHeight="15" x14ac:dyDescent="0.2"/>
  <cols>
    <col min="1" max="1" width="15.1640625" customWidth="1"/>
    <col min="2" max="2" width="25.33203125" customWidth="1"/>
    <col min="3" max="3" width="24.6640625" customWidth="1"/>
    <col min="4" max="4" width="19" style="2" customWidth="1"/>
    <col min="5" max="5" width="30.83203125" hidden="1" customWidth="1"/>
    <col min="6" max="6" width="0.5" customWidth="1"/>
    <col min="7" max="7" width="12.1640625" style="14" customWidth="1"/>
    <col min="8" max="8" width="13" style="14" customWidth="1"/>
    <col min="9" max="9" width="14.5" style="14" customWidth="1"/>
    <col min="10" max="10" width="13.5" style="14" bestFit="1" customWidth="1"/>
    <col min="11" max="12" width="10.83203125" style="14" bestFit="1" customWidth="1"/>
    <col min="13" max="13" width="11" style="14" customWidth="1"/>
    <col min="14" max="15" width="10.83203125" style="14" customWidth="1"/>
    <col min="16" max="16" width="10.6640625" style="14" bestFit="1" customWidth="1"/>
    <col min="17" max="17" width="10.1640625" style="14" bestFit="1" customWidth="1"/>
    <col min="18" max="18" width="10.1640625" style="14" customWidth="1"/>
    <col min="19" max="19" width="12.1640625" style="1" customWidth="1"/>
  </cols>
  <sheetData>
    <row r="1" spans="1:19" x14ac:dyDescent="0.2">
      <c r="A1" s="1" t="s">
        <v>92</v>
      </c>
      <c r="D1" s="11">
        <v>2020</v>
      </c>
    </row>
    <row r="2" spans="1:19" x14ac:dyDescent="0.2">
      <c r="A2" s="1" t="s">
        <v>1</v>
      </c>
      <c r="D2" s="13" t="s">
        <v>3</v>
      </c>
      <c r="E2" s="1" t="s">
        <v>47</v>
      </c>
      <c r="F2" s="1"/>
      <c r="G2" s="14" t="s">
        <v>58</v>
      </c>
      <c r="H2" s="14" t="s">
        <v>59</v>
      </c>
      <c r="I2" s="14" t="s">
        <v>60</v>
      </c>
      <c r="J2" s="14" t="s">
        <v>61</v>
      </c>
      <c r="K2" s="14" t="s">
        <v>62</v>
      </c>
      <c r="L2" s="14" t="s">
        <v>63</v>
      </c>
      <c r="M2" s="14" t="s">
        <v>64</v>
      </c>
      <c r="N2" s="14" t="s">
        <v>65</v>
      </c>
      <c r="O2" s="14" t="s">
        <v>66</v>
      </c>
      <c r="P2" s="14" t="s">
        <v>67</v>
      </c>
      <c r="Q2" s="14" t="s">
        <v>68</v>
      </c>
      <c r="R2" s="14" t="s">
        <v>69</v>
      </c>
      <c r="S2" s="15" t="s">
        <v>70</v>
      </c>
    </row>
    <row r="3" spans="1:19" x14ac:dyDescent="0.2">
      <c r="B3" s="1" t="s">
        <v>74</v>
      </c>
    </row>
    <row r="4" spans="1:19" x14ac:dyDescent="0.2">
      <c r="C4" t="s">
        <v>5</v>
      </c>
      <c r="D4" s="14">
        <v>7000</v>
      </c>
      <c r="E4" s="14"/>
      <c r="F4" s="14"/>
      <c r="L4" s="14">
        <v>351</v>
      </c>
      <c r="M4" s="14">
        <v>1823</v>
      </c>
      <c r="S4" s="15">
        <f>SUM(G4:R4)</f>
        <v>2174</v>
      </c>
    </row>
    <row r="5" spans="1:19" x14ac:dyDescent="0.2">
      <c r="C5" t="s">
        <v>6</v>
      </c>
      <c r="D5" s="2">
        <v>1250</v>
      </c>
      <c r="E5" s="2" t="s">
        <v>44</v>
      </c>
      <c r="F5" s="2"/>
      <c r="G5" s="2"/>
      <c r="H5" s="2"/>
      <c r="I5" s="2"/>
      <c r="J5" s="2"/>
      <c r="K5" s="2"/>
      <c r="L5" s="2">
        <v>1280</v>
      </c>
      <c r="M5" s="2">
        <v>339.8</v>
      </c>
      <c r="N5" s="2"/>
      <c r="O5" s="2"/>
      <c r="P5" s="2"/>
      <c r="Q5" s="2"/>
      <c r="R5" s="2"/>
      <c r="S5" s="3">
        <f>SUM(G5:R5)</f>
        <v>1619.8</v>
      </c>
    </row>
    <row r="6" spans="1:19" x14ac:dyDescent="0.2">
      <c r="B6" s="1" t="s">
        <v>95</v>
      </c>
      <c r="D6" s="2">
        <v>2000</v>
      </c>
      <c r="E6" s="2" t="s">
        <v>43</v>
      </c>
      <c r="F6" s="2"/>
      <c r="G6" s="2"/>
      <c r="H6" s="2"/>
      <c r="I6" s="2">
        <v>200</v>
      </c>
      <c r="J6" s="2"/>
      <c r="K6" s="2">
        <v>250</v>
      </c>
      <c r="L6" s="2"/>
      <c r="M6" s="2"/>
      <c r="N6" s="2"/>
      <c r="O6" s="2">
        <v>315</v>
      </c>
      <c r="P6" s="2"/>
      <c r="Q6" s="2">
        <v>26.07</v>
      </c>
      <c r="R6" s="2"/>
      <c r="S6" s="3">
        <f>SUM(G6:R6)</f>
        <v>791.07</v>
      </c>
    </row>
    <row r="7" spans="1:19" x14ac:dyDescent="0.2">
      <c r="B7" s="1" t="s">
        <v>75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</row>
    <row r="8" spans="1:19" x14ac:dyDescent="0.2">
      <c r="C8" t="s">
        <v>9</v>
      </c>
      <c r="D8" s="2">
        <v>3000</v>
      </c>
      <c r="E8" s="2" t="s">
        <v>50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>
        <v>1627.69</v>
      </c>
      <c r="R8" s="2"/>
      <c r="S8" s="3">
        <f>SUM(G8:R8)</f>
        <v>1627.69</v>
      </c>
    </row>
    <row r="9" spans="1:19" x14ac:dyDescent="0.2">
      <c r="C9" t="s">
        <v>10</v>
      </c>
      <c r="D9" s="2">
        <v>1250</v>
      </c>
      <c r="E9" s="2" t="s">
        <v>51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">
        <f>SUM(G9:R9)</f>
        <v>0</v>
      </c>
    </row>
    <row r="10" spans="1:19" x14ac:dyDescent="0.2">
      <c r="C10" t="s">
        <v>11</v>
      </c>
      <c r="D10" s="2">
        <v>23800</v>
      </c>
      <c r="E10" s="2" t="s">
        <v>48</v>
      </c>
      <c r="F10" s="2"/>
      <c r="G10" s="2"/>
      <c r="H10" s="2"/>
      <c r="I10" s="2">
        <v>11900</v>
      </c>
      <c r="J10" s="2"/>
      <c r="K10" s="2"/>
      <c r="L10" s="2"/>
      <c r="M10" s="2"/>
      <c r="N10" s="2"/>
      <c r="O10" s="2"/>
      <c r="P10" s="2"/>
      <c r="Q10" s="2"/>
      <c r="R10" s="2"/>
      <c r="S10" s="3">
        <f>SUM(G10:R10)</f>
        <v>11900</v>
      </c>
    </row>
    <row r="11" spans="1:19" x14ac:dyDescent="0.2">
      <c r="C11" t="s">
        <v>12</v>
      </c>
      <c r="D11" s="20">
        <v>1900</v>
      </c>
      <c r="E11" s="2" t="s">
        <v>52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3">
        <f>SUM(G11:R11)</f>
        <v>0</v>
      </c>
    </row>
    <row r="12" spans="1:19" x14ac:dyDescent="0.2">
      <c r="B12" s="1" t="s">
        <v>72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3"/>
    </row>
    <row r="13" spans="1:19" x14ac:dyDescent="0.2">
      <c r="C13" t="s">
        <v>41</v>
      </c>
      <c r="D13" s="2">
        <v>1300</v>
      </c>
      <c r="E13" s="2"/>
      <c r="F13" s="2"/>
      <c r="G13" s="2"/>
      <c r="H13" s="2"/>
      <c r="I13" s="2">
        <v>1495</v>
      </c>
      <c r="J13" s="2"/>
      <c r="K13" s="2"/>
      <c r="L13" s="2"/>
      <c r="M13" s="2"/>
      <c r="N13" s="2"/>
      <c r="O13" s="2"/>
      <c r="P13" s="2"/>
      <c r="Q13" s="2"/>
      <c r="R13" s="2"/>
      <c r="S13" s="3">
        <f t="shared" ref="S13:S22" si="0">SUM(G13:R13)</f>
        <v>1495</v>
      </c>
    </row>
    <row r="14" spans="1:19" x14ac:dyDescent="0.2">
      <c r="C14" t="s">
        <v>14</v>
      </c>
      <c r="D14" s="2">
        <v>8000</v>
      </c>
      <c r="E14" s="2" t="s">
        <v>42</v>
      </c>
      <c r="F14" s="2"/>
      <c r="G14" s="2"/>
      <c r="H14" s="2">
        <v>525</v>
      </c>
      <c r="I14" s="2">
        <v>5234.3900000000003</v>
      </c>
      <c r="J14" s="2">
        <v>2500</v>
      </c>
      <c r="K14" s="2"/>
      <c r="L14" s="2"/>
      <c r="M14" s="2"/>
      <c r="N14" s="2"/>
      <c r="O14" s="2"/>
      <c r="P14" s="2"/>
      <c r="Q14" s="2"/>
      <c r="R14" s="2"/>
      <c r="S14" s="3">
        <f t="shared" si="0"/>
        <v>8259.39</v>
      </c>
    </row>
    <row r="15" spans="1:19" x14ac:dyDescent="0.2">
      <c r="C15" t="s">
        <v>15</v>
      </c>
      <c r="D15" s="2">
        <v>300</v>
      </c>
      <c r="E15" s="2"/>
      <c r="F15" s="2"/>
      <c r="G15" s="2"/>
      <c r="H15" s="2"/>
      <c r="I15" s="2">
        <v>319</v>
      </c>
      <c r="J15" s="2"/>
      <c r="K15" s="2"/>
      <c r="L15" s="2"/>
      <c r="M15" s="2"/>
      <c r="N15" s="2"/>
      <c r="O15" s="2"/>
      <c r="P15" s="2"/>
      <c r="Q15" s="2"/>
      <c r="R15" s="2"/>
      <c r="S15" s="3">
        <f t="shared" si="0"/>
        <v>319</v>
      </c>
    </row>
    <row r="16" spans="1:19" x14ac:dyDescent="0.2">
      <c r="C16" t="s">
        <v>93</v>
      </c>
      <c r="D16" s="2">
        <v>3000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3">
        <f t="shared" si="0"/>
        <v>0</v>
      </c>
    </row>
    <row r="17" spans="1:19" x14ac:dyDescent="0.2">
      <c r="B17" s="1" t="s">
        <v>17</v>
      </c>
      <c r="D17" s="2">
        <v>0</v>
      </c>
      <c r="E17" s="2" t="s">
        <v>55</v>
      </c>
      <c r="F17" s="2"/>
      <c r="G17" s="2"/>
      <c r="H17" s="2"/>
      <c r="I17" s="2"/>
      <c r="J17" s="2"/>
      <c r="K17" s="2"/>
      <c r="L17" s="2"/>
      <c r="M17" s="2">
        <v>25</v>
      </c>
      <c r="N17" s="2"/>
      <c r="O17" s="2"/>
      <c r="P17" s="2"/>
      <c r="Q17" s="2"/>
      <c r="R17" s="2"/>
      <c r="S17" s="3">
        <f t="shared" si="0"/>
        <v>25</v>
      </c>
    </row>
    <row r="18" spans="1:19" x14ac:dyDescent="0.2">
      <c r="B18" s="1" t="s">
        <v>18</v>
      </c>
      <c r="D18" s="2">
        <v>5000</v>
      </c>
      <c r="E18" s="2"/>
      <c r="F18" s="2"/>
      <c r="G18" s="2"/>
      <c r="H18" s="2">
        <v>3250</v>
      </c>
      <c r="I18" s="2">
        <v>6050</v>
      </c>
      <c r="J18" s="2">
        <v>600</v>
      </c>
      <c r="K18" s="2"/>
      <c r="L18" s="2">
        <v>1300</v>
      </c>
      <c r="M18" s="2"/>
      <c r="N18" s="2"/>
      <c r="O18" s="2"/>
      <c r="P18" s="2"/>
      <c r="Q18" s="2"/>
      <c r="R18" s="2"/>
      <c r="S18" s="3">
        <f t="shared" si="0"/>
        <v>11200</v>
      </c>
    </row>
    <row r="19" spans="1:19" x14ac:dyDescent="0.2">
      <c r="B19" s="1" t="s">
        <v>19</v>
      </c>
      <c r="D19" s="2">
        <v>3500</v>
      </c>
      <c r="E19" s="2"/>
      <c r="F19" s="2"/>
      <c r="G19" s="2"/>
      <c r="H19" s="2">
        <v>600</v>
      </c>
      <c r="I19" s="2">
        <v>2200</v>
      </c>
      <c r="J19" s="2">
        <v>200</v>
      </c>
      <c r="K19" s="2">
        <v>200</v>
      </c>
      <c r="L19" s="2">
        <v>520</v>
      </c>
      <c r="M19" s="2"/>
      <c r="N19" s="2"/>
      <c r="O19" s="2"/>
      <c r="P19" s="2"/>
      <c r="Q19" s="2"/>
      <c r="R19" s="2"/>
      <c r="S19" s="3">
        <f t="shared" si="0"/>
        <v>3720</v>
      </c>
    </row>
    <row r="20" spans="1:19" x14ac:dyDescent="0.2">
      <c r="B20" s="1" t="s">
        <v>20</v>
      </c>
      <c r="D20" s="2">
        <v>23000</v>
      </c>
      <c r="E20" s="2"/>
      <c r="F20" s="2"/>
      <c r="G20" s="2"/>
      <c r="H20" s="2"/>
      <c r="I20" s="2">
        <v>2100</v>
      </c>
      <c r="J20" s="2"/>
      <c r="K20" s="2">
        <v>1542</v>
      </c>
      <c r="L20" s="2">
        <v>4280</v>
      </c>
      <c r="M20" s="2">
        <v>40</v>
      </c>
      <c r="N20" s="2">
        <v>260</v>
      </c>
      <c r="O20" s="2"/>
      <c r="P20" s="2"/>
      <c r="Q20" s="2"/>
      <c r="R20" s="2"/>
      <c r="S20" s="3">
        <f t="shared" si="0"/>
        <v>8222</v>
      </c>
    </row>
    <row r="21" spans="1:19" x14ac:dyDescent="0.2">
      <c r="B21" s="1" t="s">
        <v>21</v>
      </c>
      <c r="D21" s="2">
        <v>1000</v>
      </c>
      <c r="E21" s="2"/>
      <c r="F21" s="2"/>
      <c r="G21" s="2"/>
      <c r="H21" s="2"/>
      <c r="I21" s="2"/>
      <c r="J21" s="2"/>
      <c r="K21" s="2"/>
      <c r="L21" s="2">
        <v>300</v>
      </c>
      <c r="M21" s="2"/>
      <c r="N21" s="2"/>
      <c r="O21" s="2"/>
      <c r="P21" s="2"/>
      <c r="Q21" s="2"/>
      <c r="R21" s="2"/>
      <c r="S21" s="3">
        <f t="shared" si="0"/>
        <v>300</v>
      </c>
    </row>
    <row r="22" spans="1:19" x14ac:dyDescent="0.2">
      <c r="B22" s="1" t="s">
        <v>22</v>
      </c>
      <c r="D22" s="2">
        <v>500</v>
      </c>
      <c r="E22" s="2" t="s">
        <v>45</v>
      </c>
      <c r="F22" s="2"/>
      <c r="G22" s="2"/>
      <c r="H22" s="2"/>
      <c r="I22" s="2"/>
      <c r="J22" s="2"/>
      <c r="K22" s="2">
        <v>5</v>
      </c>
      <c r="L22" s="2"/>
      <c r="M22" s="2">
        <v>200</v>
      </c>
      <c r="N22" s="2">
        <v>150</v>
      </c>
      <c r="O22" s="2"/>
      <c r="P22" s="2"/>
      <c r="Q22" s="2"/>
      <c r="R22" s="2"/>
      <c r="S22" s="3">
        <f t="shared" si="0"/>
        <v>355</v>
      </c>
    </row>
    <row r="23" spans="1:19" x14ac:dyDescent="0.2">
      <c r="A23" s="1" t="s">
        <v>23</v>
      </c>
      <c r="D23" s="16">
        <f>SUM(D4:D22)</f>
        <v>85800</v>
      </c>
      <c r="E23" s="16">
        <f t="shared" ref="E23:S23" si="1">SUM(E4:E22)</f>
        <v>0</v>
      </c>
      <c r="F23" s="15"/>
      <c r="G23" s="16">
        <f t="shared" si="1"/>
        <v>0</v>
      </c>
      <c r="H23" s="16">
        <f t="shared" si="1"/>
        <v>4375</v>
      </c>
      <c r="I23" s="16">
        <f t="shared" si="1"/>
        <v>29498.39</v>
      </c>
      <c r="J23" s="16">
        <f t="shared" si="1"/>
        <v>3300</v>
      </c>
      <c r="K23" s="16">
        <f t="shared" si="1"/>
        <v>1997</v>
      </c>
      <c r="L23" s="16">
        <f t="shared" si="1"/>
        <v>8031</v>
      </c>
      <c r="M23" s="16">
        <f>SUM(M4:M22)</f>
        <v>2427.8000000000002</v>
      </c>
      <c r="N23" s="16">
        <f t="shared" si="1"/>
        <v>410</v>
      </c>
      <c r="O23" s="16">
        <f t="shared" si="1"/>
        <v>315</v>
      </c>
      <c r="P23" s="16">
        <f t="shared" si="1"/>
        <v>0</v>
      </c>
      <c r="Q23" s="16">
        <f t="shared" si="1"/>
        <v>1653.76</v>
      </c>
      <c r="R23" s="16">
        <f t="shared" si="1"/>
        <v>0</v>
      </c>
      <c r="S23" s="16">
        <f t="shared" si="1"/>
        <v>52007.95</v>
      </c>
    </row>
    <row r="24" spans="1:19" x14ac:dyDescent="0.2">
      <c r="A24" s="1" t="s">
        <v>24</v>
      </c>
    </row>
    <row r="25" spans="1:19" x14ac:dyDescent="0.2">
      <c r="B25" s="1" t="s">
        <v>25</v>
      </c>
      <c r="D25" s="14">
        <v>1500</v>
      </c>
      <c r="E25" s="14" t="s">
        <v>56</v>
      </c>
      <c r="F25" s="14"/>
      <c r="P25" s="14">
        <v>1090.1199999999999</v>
      </c>
      <c r="S25" s="15">
        <f>SUM(G25:R25)</f>
        <v>1090.1199999999999</v>
      </c>
    </row>
    <row r="26" spans="1:19" x14ac:dyDescent="0.2">
      <c r="B26" s="23" t="s">
        <v>26</v>
      </c>
      <c r="D26" s="2">
        <v>4000</v>
      </c>
      <c r="E26" s="2"/>
      <c r="F26" s="2"/>
      <c r="G26" s="2"/>
      <c r="H26" s="2"/>
      <c r="I26" s="2"/>
      <c r="J26" s="2"/>
      <c r="K26" s="2"/>
      <c r="L26" s="2">
        <v>42.58</v>
      </c>
      <c r="M26" s="2">
        <v>2687.02</v>
      </c>
      <c r="N26" s="2">
        <v>350</v>
      </c>
      <c r="O26" s="2"/>
      <c r="P26" s="2"/>
      <c r="Q26" s="2"/>
      <c r="R26" s="2"/>
      <c r="S26" s="3">
        <f>SUM(G26:R26)</f>
        <v>3079.6</v>
      </c>
    </row>
    <row r="27" spans="1:19" x14ac:dyDescent="0.2">
      <c r="B27" s="1" t="s">
        <v>72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3"/>
    </row>
    <row r="28" spans="1:19" x14ac:dyDescent="0.2">
      <c r="C28" t="s">
        <v>14</v>
      </c>
      <c r="D28" s="2">
        <v>2500</v>
      </c>
      <c r="E28" s="2"/>
      <c r="F28" s="2"/>
      <c r="G28" s="2"/>
      <c r="H28" s="2">
        <v>1896.38</v>
      </c>
      <c r="I28" s="2"/>
      <c r="J28" s="2"/>
      <c r="K28" s="2"/>
      <c r="L28" s="2"/>
      <c r="M28" s="2"/>
      <c r="N28" s="2"/>
      <c r="O28" s="2"/>
      <c r="P28" s="2"/>
      <c r="Q28" s="25"/>
      <c r="R28" s="2">
        <v>75</v>
      </c>
      <c r="S28" s="3">
        <f t="shared" ref="S28:S34" si="2">SUM(G28:R28)</f>
        <v>1971.38</v>
      </c>
    </row>
    <row r="29" spans="1:19" x14ac:dyDescent="0.2">
      <c r="B29" s="1" t="s">
        <v>89</v>
      </c>
      <c r="D29" s="2">
        <v>900</v>
      </c>
      <c r="E29" s="2"/>
      <c r="F29" s="2"/>
      <c r="G29" s="2"/>
      <c r="H29" s="2"/>
      <c r="I29" s="2"/>
      <c r="J29" s="2"/>
      <c r="K29" s="2"/>
      <c r="L29" s="2">
        <v>475</v>
      </c>
      <c r="M29" s="14">
        <v>155.72</v>
      </c>
      <c r="N29" s="2"/>
      <c r="O29" s="2"/>
      <c r="P29" s="2"/>
      <c r="Q29" s="2"/>
      <c r="R29" s="2"/>
      <c r="S29" s="3">
        <f t="shared" si="2"/>
        <v>630.72</v>
      </c>
    </row>
    <row r="30" spans="1:19" x14ac:dyDescent="0.2">
      <c r="B30" s="23" t="s">
        <v>28</v>
      </c>
      <c r="D30" s="2">
        <v>2500</v>
      </c>
      <c r="E30" s="2"/>
      <c r="F30" s="2"/>
      <c r="G30" s="2"/>
      <c r="H30" s="2"/>
      <c r="I30" s="2"/>
      <c r="J30" s="2"/>
      <c r="K30" s="2"/>
      <c r="L30" s="2">
        <v>340.8</v>
      </c>
      <c r="M30" s="2">
        <v>596.4</v>
      </c>
      <c r="N30" s="2">
        <v>844.01</v>
      </c>
      <c r="O30" s="2">
        <v>170.4</v>
      </c>
      <c r="P30" s="2">
        <v>426</v>
      </c>
      <c r="Q30" s="2">
        <v>85.2</v>
      </c>
      <c r="R30" s="2"/>
      <c r="S30" s="3">
        <f t="shared" si="2"/>
        <v>2462.81</v>
      </c>
    </row>
    <row r="31" spans="1:19" x14ac:dyDescent="0.2">
      <c r="B31" s="1" t="s">
        <v>17</v>
      </c>
      <c r="D31" s="2">
        <v>0</v>
      </c>
      <c r="E31" s="2" t="s">
        <v>54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3">
        <f t="shared" si="2"/>
        <v>0</v>
      </c>
    </row>
    <row r="32" spans="1:19" x14ac:dyDescent="0.2">
      <c r="B32" s="1" t="s">
        <v>97</v>
      </c>
      <c r="D32" s="2">
        <v>200</v>
      </c>
      <c r="E32" s="2"/>
      <c r="F32" s="2"/>
      <c r="G32" s="2"/>
      <c r="H32" s="2"/>
      <c r="I32" s="2">
        <v>55</v>
      </c>
      <c r="J32" s="2"/>
      <c r="K32" s="2">
        <v>106</v>
      </c>
      <c r="L32" s="2"/>
      <c r="M32" s="2"/>
      <c r="N32" s="2"/>
      <c r="O32" s="2"/>
      <c r="P32" s="2"/>
      <c r="Q32" s="2"/>
      <c r="R32" s="2"/>
      <c r="S32" s="3">
        <f t="shared" si="2"/>
        <v>161</v>
      </c>
    </row>
    <row r="33" spans="2:23" x14ac:dyDescent="0.2">
      <c r="B33" s="1" t="s">
        <v>18</v>
      </c>
      <c r="D33" s="2">
        <v>500</v>
      </c>
      <c r="E33" s="2"/>
      <c r="F33" s="2"/>
      <c r="G33" s="2"/>
      <c r="H33" s="2"/>
      <c r="I33" s="2"/>
      <c r="J33" s="2"/>
      <c r="K33" s="2">
        <v>3195</v>
      </c>
      <c r="L33" s="2">
        <v>958.5</v>
      </c>
      <c r="M33" s="2"/>
      <c r="N33" s="2"/>
      <c r="O33" s="2"/>
      <c r="P33" s="2"/>
      <c r="Q33" s="2"/>
      <c r="R33" s="2"/>
      <c r="S33" s="3">
        <f t="shared" si="2"/>
        <v>4153.5</v>
      </c>
    </row>
    <row r="34" spans="2:23" x14ac:dyDescent="0.2">
      <c r="B34" s="1" t="s">
        <v>19</v>
      </c>
      <c r="D34" s="2">
        <v>1200</v>
      </c>
      <c r="E34" s="2" t="s">
        <v>46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3">
        <f t="shared" si="2"/>
        <v>0</v>
      </c>
    </row>
    <row r="35" spans="2:23" x14ac:dyDescent="0.2">
      <c r="B35" s="1" t="s">
        <v>71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3"/>
    </row>
    <row r="36" spans="2:23" x14ac:dyDescent="0.2">
      <c r="C36" s="24" t="s">
        <v>94</v>
      </c>
      <c r="D36" s="2">
        <v>23000</v>
      </c>
      <c r="E36" s="2"/>
      <c r="F36" s="2"/>
      <c r="G36" s="2"/>
      <c r="H36" s="2"/>
      <c r="I36" s="2"/>
      <c r="J36" s="2"/>
      <c r="K36" s="2"/>
      <c r="L36" s="2">
        <v>940.5</v>
      </c>
      <c r="M36" s="2">
        <v>2978.25</v>
      </c>
      <c r="N36" s="2">
        <v>1672</v>
      </c>
      <c r="O36" s="2"/>
      <c r="P36" s="2"/>
      <c r="Q36" s="2"/>
      <c r="R36" s="2"/>
      <c r="S36" s="3">
        <f t="shared" ref="S36:S41" si="3">SUM(G36:R36)</f>
        <v>5590.75</v>
      </c>
      <c r="W36" s="2"/>
    </row>
    <row r="37" spans="2:23" x14ac:dyDescent="0.2">
      <c r="C37" s="24" t="s">
        <v>96</v>
      </c>
      <c r="E37" s="2"/>
      <c r="F37" s="2"/>
      <c r="G37" s="2"/>
      <c r="H37" s="2"/>
      <c r="I37" s="2"/>
      <c r="J37" s="2"/>
      <c r="K37" s="2"/>
      <c r="L37" s="2"/>
      <c r="M37" s="2">
        <v>1306.25</v>
      </c>
      <c r="N37" s="2">
        <v>731.5</v>
      </c>
      <c r="O37" s="2"/>
      <c r="P37" s="2"/>
      <c r="Q37" s="2"/>
      <c r="R37" s="2"/>
      <c r="S37" s="3">
        <v>2037.75</v>
      </c>
      <c r="W37" s="2"/>
    </row>
    <row r="38" spans="2:23" x14ac:dyDescent="0.2">
      <c r="C38" s="24" t="s">
        <v>32</v>
      </c>
      <c r="D38" s="2">
        <v>8000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3">
        <f t="shared" si="3"/>
        <v>0</v>
      </c>
      <c r="W38" s="2"/>
    </row>
    <row r="39" spans="2:23" x14ac:dyDescent="0.2">
      <c r="C39" s="21" t="s">
        <v>90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3">
        <f t="shared" si="3"/>
        <v>0</v>
      </c>
      <c r="W39" s="2"/>
    </row>
    <row r="40" spans="2:23" x14ac:dyDescent="0.2">
      <c r="C40" s="24" t="s">
        <v>33</v>
      </c>
      <c r="D40" s="2">
        <v>1800</v>
      </c>
      <c r="E40" s="2"/>
      <c r="F40" s="2"/>
      <c r="G40" s="2"/>
      <c r="H40" s="2"/>
      <c r="I40" s="2"/>
      <c r="J40" s="2"/>
      <c r="K40" s="2"/>
      <c r="L40" s="2"/>
      <c r="M40" s="2"/>
      <c r="N40" s="2">
        <v>264.89999999999998</v>
      </c>
      <c r="O40" s="2">
        <v>147.88</v>
      </c>
      <c r="P40" s="2"/>
      <c r="Q40" s="2"/>
      <c r="R40" s="2"/>
      <c r="S40" s="3">
        <f t="shared" si="3"/>
        <v>412.78</v>
      </c>
    </row>
    <row r="41" spans="2:23" x14ac:dyDescent="0.2">
      <c r="C41" s="21" t="s">
        <v>90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2">
        <f t="shared" si="3"/>
        <v>0</v>
      </c>
    </row>
    <row r="42" spans="2:23" x14ac:dyDescent="0.2">
      <c r="B42" s="1" t="s">
        <v>73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</row>
    <row r="43" spans="2:23" x14ac:dyDescent="0.2">
      <c r="C43" s="24" t="s">
        <v>34</v>
      </c>
      <c r="D43" s="2">
        <v>26500</v>
      </c>
      <c r="E43" s="2"/>
      <c r="F43" s="2"/>
      <c r="G43" s="2"/>
      <c r="H43" s="2"/>
      <c r="I43" s="2"/>
      <c r="J43" s="2"/>
      <c r="K43" s="2">
        <v>7916.65</v>
      </c>
      <c r="L43" s="2">
        <v>7916.32</v>
      </c>
      <c r="M43" s="2">
        <v>7916.7</v>
      </c>
      <c r="N43" s="2"/>
      <c r="O43" s="2"/>
      <c r="P43" s="2"/>
      <c r="Q43" s="2"/>
      <c r="R43" s="2"/>
      <c r="S43" s="3">
        <f t="shared" ref="S43:S49" si="4">SUM(G43:R43)</f>
        <v>23749.67</v>
      </c>
    </row>
    <row r="44" spans="2:23" x14ac:dyDescent="0.2">
      <c r="C44" s="24" t="s">
        <v>35</v>
      </c>
      <c r="D44" s="2">
        <v>10000</v>
      </c>
      <c r="E44" s="2"/>
      <c r="F44" s="2"/>
      <c r="G44" s="2"/>
      <c r="H44" s="2"/>
      <c r="I44" s="2"/>
      <c r="J44" s="2"/>
      <c r="K44" s="2"/>
      <c r="L44" s="2">
        <v>1670</v>
      </c>
      <c r="M44" s="2">
        <v>1990</v>
      </c>
      <c r="N44" s="2"/>
      <c r="O44" s="2">
        <v>90</v>
      </c>
      <c r="P44" s="2"/>
      <c r="Q44" s="2"/>
      <c r="R44" s="2"/>
      <c r="S44" s="3">
        <v>3750</v>
      </c>
    </row>
    <row r="45" spans="2:23" x14ac:dyDescent="0.2">
      <c r="B45" s="1" t="s">
        <v>36</v>
      </c>
      <c r="D45" s="2">
        <v>500</v>
      </c>
      <c r="E45" s="2"/>
      <c r="F45" s="2"/>
      <c r="G45" s="2"/>
      <c r="H45" s="2"/>
      <c r="I45" s="2"/>
      <c r="J45" s="2"/>
      <c r="K45" s="2"/>
      <c r="L45" s="2">
        <v>425</v>
      </c>
      <c r="M45" s="2">
        <v>200</v>
      </c>
      <c r="N45" s="2"/>
      <c r="O45" s="2"/>
      <c r="P45" s="2"/>
      <c r="Q45" s="2"/>
      <c r="R45" s="2"/>
      <c r="S45" s="22">
        <f t="shared" si="4"/>
        <v>625</v>
      </c>
    </row>
    <row r="46" spans="2:23" x14ac:dyDescent="0.2">
      <c r="B46" s="1" t="s">
        <v>37</v>
      </c>
      <c r="D46" s="2">
        <v>500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>
        <f t="shared" si="4"/>
        <v>0</v>
      </c>
    </row>
    <row r="47" spans="2:23" x14ac:dyDescent="0.2">
      <c r="B47" s="1" t="s">
        <v>38</v>
      </c>
      <c r="D47" s="2">
        <v>450</v>
      </c>
      <c r="E47" s="2"/>
      <c r="F47" s="2"/>
      <c r="G47" s="2">
        <v>337.5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2">
        <f t="shared" si="4"/>
        <v>337.5</v>
      </c>
    </row>
    <row r="48" spans="2:23" x14ac:dyDescent="0.2">
      <c r="B48" s="1" t="s">
        <v>22</v>
      </c>
      <c r="D48" s="2">
        <v>500</v>
      </c>
      <c r="E48" s="2"/>
      <c r="F48" s="2"/>
      <c r="G48" s="2"/>
      <c r="I48" s="2">
        <v>1</v>
      </c>
      <c r="J48" s="2"/>
      <c r="K48" s="2"/>
      <c r="L48" s="2">
        <v>200</v>
      </c>
      <c r="M48" s="2"/>
      <c r="N48" s="2"/>
      <c r="O48" s="2"/>
      <c r="P48" s="2"/>
      <c r="Q48" s="2"/>
      <c r="R48" s="2"/>
      <c r="S48" s="3">
        <f t="shared" si="4"/>
        <v>201</v>
      </c>
    </row>
    <row r="49" spans="1:19" hidden="1" x14ac:dyDescent="0.2">
      <c r="B49" s="1" t="s">
        <v>39</v>
      </c>
      <c r="D49" s="5">
        <v>0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3">
        <f t="shared" si="4"/>
        <v>0</v>
      </c>
    </row>
    <row r="50" spans="1:19" x14ac:dyDescent="0.2">
      <c r="A50" s="1" t="s">
        <v>40</v>
      </c>
      <c r="D50" s="16">
        <f>SUM(D25:D49)</f>
        <v>84550</v>
      </c>
      <c r="E50" s="16">
        <f>SUM(E25:E49)</f>
        <v>0</v>
      </c>
      <c r="F50" s="15"/>
      <c r="G50" s="16">
        <f t="shared" ref="G50:S50" si="5">SUM(G25:G49)</f>
        <v>337.5</v>
      </c>
      <c r="H50" s="16">
        <f t="shared" si="5"/>
        <v>1896.38</v>
      </c>
      <c r="I50" s="16">
        <f t="shared" si="5"/>
        <v>56</v>
      </c>
      <c r="J50" s="16">
        <f t="shared" si="5"/>
        <v>0</v>
      </c>
      <c r="K50" s="16">
        <f t="shared" si="5"/>
        <v>11217.65</v>
      </c>
      <c r="L50" s="16">
        <f t="shared" si="5"/>
        <v>12968.7</v>
      </c>
      <c r="M50" s="16">
        <f>SUM(M26:M49)</f>
        <v>17830.34</v>
      </c>
      <c r="N50" s="16">
        <f t="shared" si="5"/>
        <v>3862.4100000000003</v>
      </c>
      <c r="O50" s="16">
        <f t="shared" si="5"/>
        <v>408.28</v>
      </c>
      <c r="P50" s="16">
        <f t="shared" si="5"/>
        <v>1516.12</v>
      </c>
      <c r="Q50" s="16">
        <f t="shared" si="5"/>
        <v>85.2</v>
      </c>
      <c r="R50" s="16">
        <f t="shared" si="5"/>
        <v>75</v>
      </c>
      <c r="S50" s="16">
        <f t="shared" si="5"/>
        <v>50253.579999999994</v>
      </c>
    </row>
    <row r="51" spans="1:19" x14ac:dyDescent="0.2">
      <c r="A51" s="4"/>
      <c r="S51" s="15"/>
    </row>
    <row r="52" spans="1:19" s="1" customFormat="1" ht="16" thickBot="1" x14ac:dyDescent="0.25">
      <c r="A52" s="1" t="s">
        <v>49</v>
      </c>
      <c r="D52" s="17">
        <f>D23-D50</f>
        <v>1250</v>
      </c>
      <c r="E52" s="17">
        <f>E23-E50</f>
        <v>0</v>
      </c>
      <c r="F52" s="15"/>
      <c r="G52" s="17">
        <f t="shared" ref="G52:S52" si="6">G23-G50</f>
        <v>-337.5</v>
      </c>
      <c r="H52" s="17">
        <f t="shared" si="6"/>
        <v>2478.62</v>
      </c>
      <c r="I52" s="17">
        <f t="shared" si="6"/>
        <v>29442.39</v>
      </c>
      <c r="J52" s="17">
        <f t="shared" si="6"/>
        <v>3300</v>
      </c>
      <c r="K52" s="17">
        <f t="shared" si="6"/>
        <v>-9220.65</v>
      </c>
      <c r="L52" s="17">
        <f t="shared" si="6"/>
        <v>-4937.7000000000007</v>
      </c>
      <c r="M52" s="17">
        <f t="shared" si="6"/>
        <v>-15402.54</v>
      </c>
      <c r="N52" s="17">
        <f t="shared" si="6"/>
        <v>-3452.4100000000003</v>
      </c>
      <c r="O52" s="17">
        <f t="shared" si="6"/>
        <v>-93.279999999999973</v>
      </c>
      <c r="P52" s="17">
        <f t="shared" si="6"/>
        <v>-1516.12</v>
      </c>
      <c r="Q52" s="17">
        <f t="shared" si="6"/>
        <v>1568.56</v>
      </c>
      <c r="R52" s="17">
        <f t="shared" si="6"/>
        <v>-75</v>
      </c>
      <c r="S52" s="17">
        <f t="shared" si="6"/>
        <v>1754.3700000000026</v>
      </c>
    </row>
    <row r="53" spans="1:19" s="1" customFormat="1" ht="16" thickTop="1" x14ac:dyDescent="0.2">
      <c r="C53" s="1" t="s">
        <v>79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1:19" x14ac:dyDescent="0.2">
      <c r="C54" t="s">
        <v>77</v>
      </c>
      <c r="D54" s="2">
        <v>13202.19</v>
      </c>
      <c r="G54" s="14">
        <v>13202.19</v>
      </c>
      <c r="H54" s="14">
        <f>G55</f>
        <v>12864.69</v>
      </c>
      <c r="I54" s="14">
        <v>15343.31</v>
      </c>
      <c r="J54" s="14">
        <f>I55</f>
        <v>44785.7</v>
      </c>
      <c r="K54" s="14">
        <f t="shared" ref="K54:O54" si="7">J55</f>
        <v>48085.7</v>
      </c>
      <c r="L54" s="14">
        <f t="shared" si="7"/>
        <v>38865.049999999996</v>
      </c>
      <c r="M54" s="14">
        <f t="shared" si="7"/>
        <v>33927.349999999991</v>
      </c>
      <c r="N54" s="14">
        <f t="shared" si="7"/>
        <v>18524.80999999999</v>
      </c>
      <c r="O54" s="14">
        <f t="shared" si="7"/>
        <v>15072.399999999991</v>
      </c>
      <c r="P54" s="14">
        <f>O55</f>
        <v>14979.11999999999</v>
      </c>
      <c r="Q54" s="14">
        <v>13553</v>
      </c>
      <c r="R54" s="14">
        <v>15121.56</v>
      </c>
      <c r="S54" s="14"/>
    </row>
    <row r="55" spans="1:19" x14ac:dyDescent="0.2">
      <c r="C55" t="s">
        <v>76</v>
      </c>
      <c r="G55" s="19">
        <f t="shared" ref="G55:P55" si="8">G54+G52</f>
        <v>12864.69</v>
      </c>
      <c r="H55" s="19">
        <f t="shared" si="8"/>
        <v>15343.310000000001</v>
      </c>
      <c r="I55" s="19">
        <f t="shared" si="8"/>
        <v>44785.7</v>
      </c>
      <c r="J55" s="19">
        <f t="shared" si="8"/>
        <v>48085.7</v>
      </c>
      <c r="K55" s="19">
        <f t="shared" si="8"/>
        <v>38865.049999999996</v>
      </c>
      <c r="L55" s="19">
        <f t="shared" si="8"/>
        <v>33927.349999999991</v>
      </c>
      <c r="M55" s="19">
        <f t="shared" si="8"/>
        <v>18524.80999999999</v>
      </c>
      <c r="N55" s="19">
        <f t="shared" si="8"/>
        <v>15072.399999999991</v>
      </c>
      <c r="O55" s="19">
        <f t="shared" si="8"/>
        <v>14979.11999999999</v>
      </c>
      <c r="P55" s="19">
        <f t="shared" si="8"/>
        <v>13462.999999999989</v>
      </c>
      <c r="Q55" s="19">
        <v>15031.56</v>
      </c>
      <c r="R55" s="14">
        <v>14956.56</v>
      </c>
      <c r="S55" s="14"/>
    </row>
    <row r="56" spans="1:19" ht="16" thickBot="1" x14ac:dyDescent="0.25">
      <c r="C56" t="s">
        <v>80</v>
      </c>
      <c r="G56" s="14">
        <v>12864.69</v>
      </c>
      <c r="H56" s="14">
        <v>15343.31</v>
      </c>
      <c r="I56" s="14">
        <v>44785.7</v>
      </c>
      <c r="J56" s="14">
        <v>48085.7</v>
      </c>
      <c r="K56" s="14">
        <v>38865.050000000003</v>
      </c>
      <c r="L56" s="18">
        <v>33927.35</v>
      </c>
      <c r="M56" s="14">
        <v>18524.810000000001</v>
      </c>
      <c r="N56" s="14">
        <v>15072.4</v>
      </c>
      <c r="O56" s="14">
        <v>15069.12</v>
      </c>
      <c r="P56" s="14">
        <v>13553</v>
      </c>
      <c r="Q56" s="14">
        <v>15121.56</v>
      </c>
      <c r="R56" s="14">
        <v>15046.56</v>
      </c>
      <c r="S56" s="14"/>
    </row>
    <row r="57" spans="1:19" ht="17" thickTop="1" thickBot="1" x14ac:dyDescent="0.25">
      <c r="C57" t="s">
        <v>78</v>
      </c>
      <c r="G57" s="18">
        <f>G56-G55</f>
        <v>0</v>
      </c>
      <c r="H57" s="18">
        <f t="shared" ref="H57:M57" si="9">H56-H55</f>
        <v>0</v>
      </c>
      <c r="I57" s="18">
        <f t="shared" si="9"/>
        <v>0</v>
      </c>
      <c r="J57" s="18">
        <f t="shared" si="9"/>
        <v>0</v>
      </c>
      <c r="K57" s="18">
        <v>0</v>
      </c>
      <c r="M57" s="18">
        <f t="shared" si="9"/>
        <v>0</v>
      </c>
      <c r="N57" s="18">
        <v>0</v>
      </c>
      <c r="O57" s="18">
        <v>90</v>
      </c>
      <c r="P57" s="18">
        <v>90</v>
      </c>
      <c r="Q57" s="18">
        <v>90</v>
      </c>
      <c r="R57" s="18">
        <v>90</v>
      </c>
      <c r="S57" s="14"/>
    </row>
    <row r="58" spans="1:19" ht="16" thickTop="1" x14ac:dyDescent="0.2">
      <c r="J58" s="14" t="s">
        <v>81</v>
      </c>
      <c r="K58" s="14" t="s">
        <v>82</v>
      </c>
      <c r="P58" s="14" t="s">
        <v>91</v>
      </c>
    </row>
  </sheetData>
  <printOptions gridLines="1"/>
  <pageMargins left="0.25" right="0.25" top="0.75" bottom="0.75" header="0.3" footer="0.3"/>
  <pageSetup scale="62" fitToWidth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56"/>
  <sheetViews>
    <sheetView workbookViewId="0">
      <selection activeCell="S50" sqref="S50"/>
    </sheetView>
  </sheetViews>
  <sheetFormatPr baseColWidth="10" defaultColWidth="8.83203125" defaultRowHeight="15" x14ac:dyDescent="0.2"/>
  <cols>
    <col min="1" max="1" width="10.5" customWidth="1"/>
    <col min="2" max="2" width="11.5" customWidth="1"/>
    <col min="3" max="3" width="23.1640625" bestFit="1" customWidth="1"/>
    <col min="4" max="4" width="10.1640625" style="2" bestFit="1" customWidth="1"/>
    <col min="5" max="5" width="36" hidden="1" customWidth="1"/>
    <col min="6" max="6" width="1.5" customWidth="1"/>
    <col min="7" max="7" width="10.1640625" style="14" bestFit="1" customWidth="1"/>
    <col min="8" max="9" width="10.83203125" style="14" customWidth="1"/>
    <col min="10" max="10" width="13.5" style="14" bestFit="1" customWidth="1"/>
    <col min="11" max="11" width="10.83203125" style="14" bestFit="1" customWidth="1"/>
    <col min="12" max="12" width="12.5" style="14" bestFit="1" customWidth="1"/>
    <col min="13" max="14" width="10.1640625" style="14" hidden="1" customWidth="1"/>
    <col min="15" max="15" width="10.83203125" style="14" hidden="1" customWidth="1"/>
    <col min="16" max="16" width="10.1640625" style="14" hidden="1" customWidth="1"/>
    <col min="17" max="17" width="10.5" style="14" hidden="1" customWidth="1"/>
    <col min="18" max="18" width="10.1640625" style="14" hidden="1" customWidth="1"/>
    <col min="19" max="19" width="10.1640625" style="1" bestFit="1" customWidth="1"/>
  </cols>
  <sheetData>
    <row r="1" spans="1:19" x14ac:dyDescent="0.2">
      <c r="A1" s="1" t="s">
        <v>0</v>
      </c>
      <c r="D1" s="11">
        <v>2019</v>
      </c>
    </row>
    <row r="2" spans="1:19" x14ac:dyDescent="0.2">
      <c r="A2" s="1" t="s">
        <v>1</v>
      </c>
      <c r="D2" s="13" t="s">
        <v>3</v>
      </c>
      <c r="E2" s="1" t="s">
        <v>47</v>
      </c>
      <c r="F2" s="1"/>
      <c r="G2" s="14" t="s">
        <v>58</v>
      </c>
      <c r="H2" s="14" t="s">
        <v>59</v>
      </c>
      <c r="I2" s="14" t="s">
        <v>60</v>
      </c>
      <c r="J2" s="14" t="s">
        <v>61</v>
      </c>
      <c r="K2" s="14" t="s">
        <v>62</v>
      </c>
      <c r="L2" s="14" t="s">
        <v>83</v>
      </c>
      <c r="M2" s="14" t="s">
        <v>64</v>
      </c>
      <c r="N2" s="14" t="s">
        <v>65</v>
      </c>
      <c r="O2" s="14" t="s">
        <v>66</v>
      </c>
      <c r="P2" s="14" t="s">
        <v>67</v>
      </c>
      <c r="Q2" s="14" t="s">
        <v>68</v>
      </c>
      <c r="R2" s="14" t="s">
        <v>69</v>
      </c>
      <c r="S2" s="15" t="s">
        <v>70</v>
      </c>
    </row>
    <row r="3" spans="1:19" x14ac:dyDescent="0.2">
      <c r="B3" s="1" t="s">
        <v>74</v>
      </c>
    </row>
    <row r="4" spans="1:19" x14ac:dyDescent="0.2">
      <c r="C4" t="s">
        <v>5</v>
      </c>
      <c r="D4" s="14">
        <v>8000</v>
      </c>
      <c r="E4" s="14"/>
      <c r="F4" s="14"/>
      <c r="K4" s="14">
        <f>199+182+122+163</f>
        <v>666</v>
      </c>
      <c r="L4" s="14">
        <v>7334</v>
      </c>
      <c r="S4" s="15">
        <f>SUM(G4:R4)</f>
        <v>8000</v>
      </c>
    </row>
    <row r="5" spans="1:19" x14ac:dyDescent="0.2">
      <c r="C5" t="s">
        <v>6</v>
      </c>
      <c r="D5" s="2">
        <v>1500</v>
      </c>
      <c r="E5" s="2" t="s">
        <v>44</v>
      </c>
      <c r="F5" s="2"/>
      <c r="G5" s="2"/>
      <c r="H5" s="2"/>
      <c r="I5" s="2"/>
      <c r="J5" s="2"/>
      <c r="K5" s="2"/>
      <c r="L5" s="2">
        <v>1500</v>
      </c>
      <c r="M5" s="2"/>
      <c r="N5" s="2"/>
      <c r="O5" s="2"/>
      <c r="P5" s="2"/>
      <c r="Q5" s="2"/>
      <c r="R5" s="2"/>
      <c r="S5" s="3">
        <f t="shared" ref="S5:S22" si="0">SUM(G5:R5)</f>
        <v>1500</v>
      </c>
    </row>
    <row r="6" spans="1:19" x14ac:dyDescent="0.2">
      <c r="B6" s="1" t="s">
        <v>7</v>
      </c>
      <c r="D6" s="2">
        <v>1000</v>
      </c>
      <c r="E6" s="2" t="s">
        <v>43</v>
      </c>
      <c r="F6" s="2"/>
      <c r="G6" s="2"/>
      <c r="H6" s="2"/>
      <c r="I6" s="2">
        <v>250</v>
      </c>
      <c r="J6" s="2">
        <v>500</v>
      </c>
      <c r="K6" s="2">
        <f>60</f>
        <v>60</v>
      </c>
      <c r="L6" s="2"/>
      <c r="M6" s="2"/>
      <c r="N6" s="2"/>
      <c r="O6" s="2"/>
      <c r="P6" s="2"/>
      <c r="Q6" s="2"/>
      <c r="R6" s="2"/>
      <c r="S6" s="3">
        <f t="shared" si="0"/>
        <v>810</v>
      </c>
    </row>
    <row r="7" spans="1:19" x14ac:dyDescent="0.2">
      <c r="B7" s="1" t="s">
        <v>75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</row>
    <row r="8" spans="1:19" x14ac:dyDescent="0.2">
      <c r="C8" t="s">
        <v>9</v>
      </c>
      <c r="D8" s="2">
        <v>2940.73</v>
      </c>
      <c r="E8" s="2" t="s">
        <v>50</v>
      </c>
      <c r="F8" s="2"/>
      <c r="G8" s="2"/>
      <c r="H8" s="2"/>
      <c r="I8" s="2"/>
      <c r="J8" s="2">
        <f>980.24</f>
        <v>980.24</v>
      </c>
      <c r="K8" s="2"/>
      <c r="L8" s="2">
        <f>980.24*2</f>
        <v>1960.48</v>
      </c>
      <c r="M8" s="2"/>
      <c r="N8" s="2"/>
      <c r="O8" s="2"/>
      <c r="P8" s="2"/>
      <c r="Q8" s="2"/>
      <c r="R8" s="2"/>
      <c r="S8" s="3">
        <f t="shared" si="0"/>
        <v>2940.7200000000003</v>
      </c>
    </row>
    <row r="9" spans="1:19" x14ac:dyDescent="0.2">
      <c r="C9" t="s">
        <v>10</v>
      </c>
      <c r="D9" s="2">
        <f>41*28</f>
        <v>1148</v>
      </c>
      <c r="E9" s="2" t="s">
        <v>51</v>
      </c>
      <c r="F9" s="2"/>
      <c r="G9" s="2"/>
      <c r="H9" s="2"/>
      <c r="I9" s="2"/>
      <c r="J9" s="2"/>
      <c r="K9" s="2"/>
      <c r="L9" s="2">
        <f>41*32</f>
        <v>1312</v>
      </c>
      <c r="M9" s="2"/>
      <c r="N9" s="2"/>
      <c r="O9" s="2"/>
      <c r="P9" s="2"/>
      <c r="Q9" s="2"/>
      <c r="R9" s="2"/>
      <c r="S9" s="3">
        <f t="shared" si="0"/>
        <v>1312</v>
      </c>
    </row>
    <row r="10" spans="1:19" x14ac:dyDescent="0.2">
      <c r="C10" t="s">
        <v>11</v>
      </c>
      <c r="D10" s="2">
        <v>23236.75</v>
      </c>
      <c r="E10" s="2" t="s">
        <v>48</v>
      </c>
      <c r="F10" s="2"/>
      <c r="G10" s="2">
        <v>23236.75</v>
      </c>
      <c r="H10" s="2"/>
      <c r="I10" s="2"/>
      <c r="J10" s="2"/>
      <c r="K10" s="2"/>
      <c r="L10" s="2">
        <v>0</v>
      </c>
      <c r="M10" s="2"/>
      <c r="N10" s="2"/>
      <c r="O10" s="2"/>
      <c r="P10" s="2"/>
      <c r="Q10" s="2"/>
      <c r="R10" s="2"/>
      <c r="S10" s="3">
        <f t="shared" si="0"/>
        <v>23236.75</v>
      </c>
    </row>
    <row r="11" spans="1:19" x14ac:dyDescent="0.2">
      <c r="C11" t="s">
        <v>12</v>
      </c>
      <c r="D11" s="20">
        <f>61.5*28</f>
        <v>1722</v>
      </c>
      <c r="E11" s="2" t="s">
        <v>52</v>
      </c>
      <c r="F11" s="2"/>
      <c r="G11" s="2"/>
      <c r="H11" s="2"/>
      <c r="I11" s="2"/>
      <c r="J11" s="2">
        <v>656</v>
      </c>
      <c r="K11" s="2"/>
      <c r="L11" s="2">
        <f>656*2</f>
        <v>1312</v>
      </c>
      <c r="M11" s="2"/>
      <c r="N11" s="2"/>
      <c r="O11" s="2"/>
      <c r="P11" s="2"/>
      <c r="Q11" s="2"/>
      <c r="R11" s="2"/>
      <c r="S11" s="3">
        <f t="shared" si="0"/>
        <v>1968</v>
      </c>
    </row>
    <row r="12" spans="1:19" x14ac:dyDescent="0.2">
      <c r="B12" s="1" t="s">
        <v>72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3"/>
    </row>
    <row r="13" spans="1:19" x14ac:dyDescent="0.2">
      <c r="C13" t="s">
        <v>41</v>
      </c>
      <c r="D13" s="2">
        <v>1000</v>
      </c>
      <c r="E13" s="2"/>
      <c r="F13" s="2"/>
      <c r="G13" s="2"/>
      <c r="H13" s="2">
        <f>1135+70+160</f>
        <v>1365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3">
        <f t="shared" si="0"/>
        <v>1365</v>
      </c>
    </row>
    <row r="14" spans="1:19" x14ac:dyDescent="0.2">
      <c r="C14" t="s">
        <v>14</v>
      </c>
      <c r="D14" s="2">
        <v>5450</v>
      </c>
      <c r="E14" s="2" t="s">
        <v>42</v>
      </c>
      <c r="F14" s="2"/>
      <c r="G14" s="2"/>
      <c r="H14" s="2">
        <f>175*2+528+175+1050+2688+2113+142</f>
        <v>7046</v>
      </c>
      <c r="I14" s="2">
        <f>175+175</f>
        <v>350</v>
      </c>
      <c r="J14" s="2"/>
      <c r="K14" s="2"/>
      <c r="L14" s="2"/>
      <c r="M14" s="2"/>
      <c r="N14" s="2"/>
      <c r="O14" s="2"/>
      <c r="P14" s="2"/>
      <c r="Q14" s="2"/>
      <c r="R14" s="2"/>
      <c r="S14" s="3">
        <f t="shared" si="0"/>
        <v>7396</v>
      </c>
    </row>
    <row r="15" spans="1:19" x14ac:dyDescent="0.2">
      <c r="C15" t="s">
        <v>15</v>
      </c>
      <c r="D15" s="2">
        <v>300</v>
      </c>
      <c r="E15" s="2"/>
      <c r="F15" s="2"/>
      <c r="G15" s="2"/>
      <c r="H15" s="2">
        <v>480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3">
        <f t="shared" si="0"/>
        <v>480</v>
      </c>
    </row>
    <row r="16" spans="1:19" x14ac:dyDescent="0.2">
      <c r="C16" t="s">
        <v>16</v>
      </c>
      <c r="D16" s="2">
        <v>3000</v>
      </c>
      <c r="E16" s="2"/>
      <c r="F16" s="2"/>
      <c r="G16" s="2"/>
      <c r="H16" s="2"/>
      <c r="I16" s="2"/>
      <c r="J16" s="2"/>
      <c r="K16" s="2"/>
      <c r="L16" s="2">
        <v>5000</v>
      </c>
      <c r="M16" s="2"/>
      <c r="N16" s="2"/>
      <c r="O16" s="2"/>
      <c r="P16" s="2"/>
      <c r="Q16" s="2"/>
      <c r="R16" s="2"/>
      <c r="S16" s="3">
        <f t="shared" si="0"/>
        <v>5000</v>
      </c>
    </row>
    <row r="17" spans="1:21" x14ac:dyDescent="0.2">
      <c r="B17" s="1" t="s">
        <v>17</v>
      </c>
      <c r="D17" s="2">
        <v>0</v>
      </c>
      <c r="E17" s="2" t="s">
        <v>55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3">
        <f t="shared" si="0"/>
        <v>0</v>
      </c>
    </row>
    <row r="18" spans="1:21" x14ac:dyDescent="0.2">
      <c r="B18" s="1" t="s">
        <v>18</v>
      </c>
      <c r="D18" s="2">
        <v>5000</v>
      </c>
      <c r="E18" s="2"/>
      <c r="F18" s="2"/>
      <c r="G18" s="2"/>
      <c r="H18" s="2">
        <f>300*2+600</f>
        <v>1200</v>
      </c>
      <c r="I18" s="2">
        <f>600+900+300+600</f>
        <v>2400</v>
      </c>
      <c r="J18" s="2">
        <v>300</v>
      </c>
      <c r="K18" s="2"/>
      <c r="L18" s="2">
        <v>300</v>
      </c>
      <c r="M18" s="2"/>
      <c r="N18" s="2"/>
      <c r="O18" s="2"/>
      <c r="P18" s="2"/>
      <c r="Q18" s="2"/>
      <c r="R18" s="2"/>
      <c r="S18" s="3">
        <f t="shared" si="0"/>
        <v>4200</v>
      </c>
    </row>
    <row r="19" spans="1:21" x14ac:dyDescent="0.2">
      <c r="B19" s="1" t="s">
        <v>19</v>
      </c>
      <c r="D19" s="2">
        <v>7000</v>
      </c>
      <c r="E19" s="2"/>
      <c r="F19" s="2"/>
      <c r="G19" s="2"/>
      <c r="H19" s="2">
        <f>150+290+290+290+300</f>
        <v>1320</v>
      </c>
      <c r="I19" s="2">
        <f>75+75+150+150</f>
        <v>450</v>
      </c>
      <c r="J19" s="2">
        <v>290</v>
      </c>
      <c r="K19" s="2"/>
      <c r="L19" s="2">
        <v>800</v>
      </c>
      <c r="M19" s="2"/>
      <c r="N19" s="2"/>
      <c r="O19" s="2"/>
      <c r="P19" s="2"/>
      <c r="Q19" s="2"/>
      <c r="R19" s="2"/>
      <c r="S19" s="3">
        <f t="shared" si="0"/>
        <v>2860</v>
      </c>
    </row>
    <row r="20" spans="1:21" x14ac:dyDescent="0.2">
      <c r="B20" s="1" t="s">
        <v>20</v>
      </c>
      <c r="D20" s="2">
        <v>23000</v>
      </c>
      <c r="E20" s="2"/>
      <c r="F20" s="2"/>
      <c r="G20" s="2"/>
      <c r="H20" s="2"/>
      <c r="I20" s="2">
        <v>5258</v>
      </c>
      <c r="J20" s="2">
        <f>795-290+3031.24-980.24-656-500+12242+300</f>
        <v>13942</v>
      </c>
      <c r="K20" s="2">
        <f>3413+3187+80+1160+385</f>
        <v>8225</v>
      </c>
      <c r="L20" s="2">
        <v>980</v>
      </c>
      <c r="M20" s="2"/>
      <c r="N20" s="2"/>
      <c r="O20" s="2"/>
      <c r="P20" s="2"/>
      <c r="Q20" s="2"/>
      <c r="R20" s="2"/>
      <c r="S20" s="3">
        <f t="shared" si="0"/>
        <v>28405</v>
      </c>
    </row>
    <row r="21" spans="1:21" x14ac:dyDescent="0.2">
      <c r="B21" s="1" t="s">
        <v>21</v>
      </c>
      <c r="D21" s="2">
        <v>1200</v>
      </c>
      <c r="E21" s="2"/>
      <c r="F21" s="2"/>
      <c r="G21" s="2"/>
      <c r="H21" s="2"/>
      <c r="I21" s="2"/>
      <c r="J21" s="2"/>
      <c r="K21" s="2"/>
      <c r="L21" s="2">
        <v>1200</v>
      </c>
      <c r="M21" s="2"/>
      <c r="N21" s="2"/>
      <c r="O21" s="2"/>
      <c r="P21" s="2"/>
      <c r="Q21" s="2"/>
      <c r="R21" s="2"/>
      <c r="S21" s="3">
        <f t="shared" si="0"/>
        <v>1200</v>
      </c>
    </row>
    <row r="22" spans="1:21" x14ac:dyDescent="0.2">
      <c r="B22" s="1" t="s">
        <v>22</v>
      </c>
      <c r="D22" s="2">
        <v>500</v>
      </c>
      <c r="E22" s="2" t="s">
        <v>45</v>
      </c>
      <c r="F22" s="2"/>
      <c r="G22" s="2"/>
      <c r="H22" s="2"/>
      <c r="I22" s="2"/>
      <c r="J22" s="2"/>
      <c r="K22" s="2"/>
      <c r="L22" s="2">
        <v>482.34</v>
      </c>
      <c r="M22" s="2"/>
      <c r="N22" s="2"/>
      <c r="O22" s="2"/>
      <c r="P22" s="2"/>
      <c r="Q22" s="2"/>
      <c r="R22" s="2"/>
      <c r="S22" s="3">
        <f t="shared" si="0"/>
        <v>482.34</v>
      </c>
    </row>
    <row r="23" spans="1:21" x14ac:dyDescent="0.2">
      <c r="A23" s="1" t="s">
        <v>23</v>
      </c>
      <c r="D23" s="16">
        <f>SUM(D4:D22)</f>
        <v>85997.48</v>
      </c>
      <c r="E23" s="16">
        <f t="shared" ref="E23:S23" si="1">SUM(E4:E22)</f>
        <v>0</v>
      </c>
      <c r="F23" s="15"/>
      <c r="G23" s="16">
        <f t="shared" si="1"/>
        <v>23236.75</v>
      </c>
      <c r="H23" s="16">
        <f t="shared" si="1"/>
        <v>11411</v>
      </c>
      <c r="I23" s="16">
        <f t="shared" si="1"/>
        <v>8708</v>
      </c>
      <c r="J23" s="16">
        <f t="shared" si="1"/>
        <v>16668.239999999998</v>
      </c>
      <c r="K23" s="16">
        <f t="shared" si="1"/>
        <v>8951</v>
      </c>
      <c r="L23" s="16">
        <f t="shared" si="1"/>
        <v>22180.82</v>
      </c>
      <c r="M23" s="16">
        <f t="shared" si="1"/>
        <v>0</v>
      </c>
      <c r="N23" s="16">
        <f t="shared" si="1"/>
        <v>0</v>
      </c>
      <c r="O23" s="16">
        <f t="shared" si="1"/>
        <v>0</v>
      </c>
      <c r="P23" s="16">
        <f t="shared" si="1"/>
        <v>0</v>
      </c>
      <c r="Q23" s="16">
        <f t="shared" si="1"/>
        <v>0</v>
      </c>
      <c r="R23" s="16">
        <f t="shared" si="1"/>
        <v>0</v>
      </c>
      <c r="S23" s="16">
        <f t="shared" si="1"/>
        <v>91155.81</v>
      </c>
    </row>
    <row r="24" spans="1:21" x14ac:dyDescent="0.2">
      <c r="A24" s="1" t="s">
        <v>24</v>
      </c>
    </row>
    <row r="25" spans="1:21" x14ac:dyDescent="0.2">
      <c r="B25" s="1" t="s">
        <v>25</v>
      </c>
      <c r="D25" s="14">
        <v>1000</v>
      </c>
      <c r="E25" s="14" t="s">
        <v>56</v>
      </c>
      <c r="F25" s="14"/>
      <c r="I25" s="14">
        <f>7.75</f>
        <v>7.75</v>
      </c>
      <c r="J25" s="14">
        <f>92+11.5</f>
        <v>103.5</v>
      </c>
      <c r="L25" s="14">
        <f>28500*0.045</f>
        <v>1282.5</v>
      </c>
      <c r="S25" s="15">
        <f>SUM(G25:R25)</f>
        <v>1393.75</v>
      </c>
    </row>
    <row r="26" spans="1:21" x14ac:dyDescent="0.2">
      <c r="B26" s="1" t="s">
        <v>26</v>
      </c>
      <c r="D26" s="2">
        <v>4000</v>
      </c>
      <c r="E26" s="2"/>
      <c r="F26" s="2"/>
      <c r="G26" s="2"/>
      <c r="H26" s="2"/>
      <c r="I26" s="2"/>
      <c r="J26" s="2">
        <v>1157.67</v>
      </c>
      <c r="K26" s="2">
        <f>1347.23+1134.23+669.9+396.58</f>
        <v>3547.94</v>
      </c>
      <c r="L26" s="2">
        <f>40+700+400+120</f>
        <v>1260</v>
      </c>
      <c r="M26" s="2"/>
      <c r="N26" s="2"/>
      <c r="O26" s="2"/>
      <c r="P26" s="2"/>
      <c r="Q26" s="2"/>
      <c r="R26" s="2"/>
      <c r="S26" s="3">
        <f t="shared" ref="S26:S49" si="2">SUM(G26:R26)</f>
        <v>5965.6100000000006</v>
      </c>
      <c r="T26" t="s">
        <v>84</v>
      </c>
    </row>
    <row r="27" spans="1:21" x14ac:dyDescent="0.2">
      <c r="B27" s="1" t="s">
        <v>72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3"/>
      <c r="U27" t="s">
        <v>85</v>
      </c>
    </row>
    <row r="28" spans="1:21" x14ac:dyDescent="0.2">
      <c r="C28" t="s">
        <v>14</v>
      </c>
      <c r="D28" s="2">
        <v>2100</v>
      </c>
      <c r="E28" s="2"/>
      <c r="F28" s="2"/>
      <c r="G28" s="2">
        <f>74+74</f>
        <v>148</v>
      </c>
      <c r="H28" s="2">
        <f>-13.14+275+43.3+10.65+67.48+1596.38+420</f>
        <v>2399.67</v>
      </c>
      <c r="I28" s="2"/>
      <c r="J28" s="2"/>
      <c r="K28" s="2"/>
      <c r="L28" s="2">
        <v>50</v>
      </c>
      <c r="M28" s="2"/>
      <c r="N28" s="2"/>
      <c r="O28" s="2"/>
      <c r="P28" s="2"/>
      <c r="Q28" s="2"/>
      <c r="R28" s="2"/>
      <c r="S28" s="3">
        <f t="shared" si="2"/>
        <v>2597.67</v>
      </c>
      <c r="U28" t="s">
        <v>86</v>
      </c>
    </row>
    <row r="29" spans="1:21" x14ac:dyDescent="0.2">
      <c r="C29" t="s">
        <v>16</v>
      </c>
      <c r="D29" s="2">
        <v>1400</v>
      </c>
      <c r="E29" s="2" t="s">
        <v>57</v>
      </c>
      <c r="F29" s="2"/>
      <c r="G29" s="2"/>
      <c r="H29" s="2"/>
      <c r="I29" s="2"/>
      <c r="J29" s="2">
        <f>142.67</f>
        <v>142.66999999999999</v>
      </c>
      <c r="K29" s="2"/>
      <c r="L29" s="2">
        <f>1100</f>
        <v>1100</v>
      </c>
      <c r="M29" s="2"/>
      <c r="N29" s="2"/>
      <c r="O29" s="2"/>
      <c r="P29" s="2"/>
      <c r="Q29" s="2"/>
      <c r="R29" s="2"/>
      <c r="S29" s="3">
        <f t="shared" si="2"/>
        <v>1242.67</v>
      </c>
      <c r="U29" t="s">
        <v>87</v>
      </c>
    </row>
    <row r="30" spans="1:21" x14ac:dyDescent="0.2">
      <c r="B30" s="1" t="s">
        <v>27</v>
      </c>
      <c r="D30" s="2">
        <v>700</v>
      </c>
      <c r="E30" s="2"/>
      <c r="F30" s="2"/>
      <c r="G30" s="2"/>
      <c r="H30" s="2"/>
      <c r="I30" s="2"/>
      <c r="J30" s="2">
        <v>297.33999999999997</v>
      </c>
      <c r="K30" s="2">
        <v>185</v>
      </c>
      <c r="L30" s="2"/>
      <c r="M30" s="2"/>
      <c r="N30" s="2"/>
      <c r="O30" s="2"/>
      <c r="P30" s="2"/>
      <c r="Q30" s="2"/>
      <c r="R30" s="2"/>
      <c r="S30" s="3">
        <f t="shared" si="2"/>
        <v>482.34</v>
      </c>
      <c r="U30" t="s">
        <v>88</v>
      </c>
    </row>
    <row r="31" spans="1:21" x14ac:dyDescent="0.2">
      <c r="B31" s="1" t="s">
        <v>28</v>
      </c>
      <c r="D31" s="2">
        <v>2000</v>
      </c>
      <c r="E31" s="2"/>
      <c r="F31" s="2"/>
      <c r="G31" s="2"/>
      <c r="H31" s="2"/>
      <c r="I31" s="2"/>
      <c r="J31" s="2">
        <f>14.57+103.25</f>
        <v>117.82</v>
      </c>
      <c r="K31" s="2"/>
      <c r="L31" s="2"/>
      <c r="M31" s="2"/>
      <c r="N31" s="2"/>
      <c r="O31" s="2"/>
      <c r="P31" s="2"/>
      <c r="Q31" s="2"/>
      <c r="R31" s="2"/>
      <c r="S31" s="3">
        <f t="shared" si="2"/>
        <v>117.82</v>
      </c>
    </row>
    <row r="32" spans="1:21" x14ac:dyDescent="0.2">
      <c r="B32" s="1" t="s">
        <v>17</v>
      </c>
      <c r="D32" s="2">
        <v>0</v>
      </c>
      <c r="E32" s="2" t="s">
        <v>54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3">
        <f t="shared" si="2"/>
        <v>0</v>
      </c>
    </row>
    <row r="33" spans="1:19" x14ac:dyDescent="0.2">
      <c r="B33" s="1" t="s">
        <v>29</v>
      </c>
      <c r="D33" s="2">
        <v>200</v>
      </c>
      <c r="E33" s="2"/>
      <c r="F33" s="2"/>
      <c r="G33" s="2"/>
      <c r="H33" s="2">
        <f>134.17+2.75</f>
        <v>136.91999999999999</v>
      </c>
      <c r="I33" s="2"/>
      <c r="J33" s="2"/>
      <c r="K33" s="2">
        <f>55</f>
        <v>55</v>
      </c>
      <c r="L33" s="2"/>
      <c r="M33" s="2"/>
      <c r="N33" s="2"/>
      <c r="O33" s="2"/>
      <c r="P33" s="2"/>
      <c r="Q33" s="2"/>
      <c r="R33" s="2"/>
      <c r="S33" s="3">
        <f t="shared" si="2"/>
        <v>191.92</v>
      </c>
    </row>
    <row r="34" spans="1:19" x14ac:dyDescent="0.2">
      <c r="B34" s="1" t="s">
        <v>18</v>
      </c>
      <c r="D34" s="2">
        <v>500</v>
      </c>
      <c r="E34" s="2"/>
      <c r="F34" s="2"/>
      <c r="G34" s="2"/>
      <c r="H34" s="2"/>
      <c r="I34" s="2"/>
      <c r="J34" s="2"/>
      <c r="K34" s="2"/>
      <c r="L34" s="2">
        <v>0</v>
      </c>
      <c r="M34" s="2"/>
      <c r="N34" s="2"/>
      <c r="O34" s="2"/>
      <c r="P34" s="2"/>
      <c r="Q34" s="2"/>
      <c r="R34" s="2"/>
      <c r="S34" s="3">
        <f t="shared" si="2"/>
        <v>0</v>
      </c>
    </row>
    <row r="35" spans="1:19" x14ac:dyDescent="0.2">
      <c r="B35" s="1" t="s">
        <v>19</v>
      </c>
      <c r="D35" s="2">
        <v>1200</v>
      </c>
      <c r="E35" s="2" t="s">
        <v>46</v>
      </c>
      <c r="F35" s="2"/>
      <c r="G35" s="2"/>
      <c r="H35" s="2"/>
      <c r="I35" s="2"/>
      <c r="J35" s="2">
        <v>1331.25</v>
      </c>
      <c r="K35" s="2"/>
      <c r="L35" s="2"/>
      <c r="M35" s="2"/>
      <c r="N35" s="2"/>
      <c r="O35" s="2"/>
      <c r="P35" s="2"/>
      <c r="Q35" s="2"/>
      <c r="R35" s="2"/>
      <c r="S35" s="3">
        <f t="shared" si="2"/>
        <v>1331.25</v>
      </c>
    </row>
    <row r="36" spans="1:19" x14ac:dyDescent="0.2">
      <c r="B36" s="1" t="s">
        <v>71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3"/>
    </row>
    <row r="37" spans="1:19" x14ac:dyDescent="0.2">
      <c r="C37" t="s">
        <v>31</v>
      </c>
      <c r="D37" s="2">
        <v>23000</v>
      </c>
      <c r="E37" s="2"/>
      <c r="F37" s="2"/>
      <c r="G37" s="2"/>
      <c r="H37" s="2"/>
      <c r="I37" s="2"/>
      <c r="J37" s="2"/>
      <c r="K37" s="2">
        <f>470.25</f>
        <v>470.25</v>
      </c>
      <c r="L37" s="2">
        <v>22529.75</v>
      </c>
      <c r="M37" s="2"/>
      <c r="N37" s="2"/>
      <c r="O37" s="2"/>
      <c r="P37" s="2"/>
      <c r="Q37" s="2"/>
      <c r="R37" s="2"/>
      <c r="S37" s="3">
        <f t="shared" si="2"/>
        <v>23000</v>
      </c>
    </row>
    <row r="38" spans="1:19" x14ac:dyDescent="0.2">
      <c r="C38" t="s">
        <v>32</v>
      </c>
      <c r="D38" s="2">
        <v>6500</v>
      </c>
      <c r="E38" s="2"/>
      <c r="F38" s="2"/>
      <c r="G38" s="2"/>
      <c r="H38" s="2"/>
      <c r="I38" s="2"/>
      <c r="J38" s="2"/>
      <c r="K38" s="2"/>
      <c r="L38" s="2">
        <v>6500</v>
      </c>
      <c r="M38" s="2"/>
      <c r="N38" s="2"/>
      <c r="O38" s="2"/>
      <c r="P38" s="2"/>
      <c r="Q38" s="2"/>
      <c r="R38" s="2"/>
      <c r="S38" s="3">
        <f t="shared" si="2"/>
        <v>6500</v>
      </c>
    </row>
    <row r="39" spans="1:19" x14ac:dyDescent="0.2">
      <c r="C39" t="s">
        <v>33</v>
      </c>
      <c r="D39" s="2">
        <v>1500</v>
      </c>
      <c r="E39" s="2"/>
      <c r="F39" s="2"/>
      <c r="G39" s="2"/>
      <c r="H39" s="2"/>
      <c r="I39" s="2"/>
      <c r="J39" s="2"/>
      <c r="K39" s="2"/>
      <c r="L39" s="2">
        <v>1500</v>
      </c>
      <c r="M39" s="2"/>
      <c r="N39" s="2"/>
      <c r="O39" s="2"/>
      <c r="P39" s="2"/>
      <c r="Q39" s="2"/>
      <c r="R39" s="2"/>
      <c r="S39" s="3">
        <f t="shared" si="2"/>
        <v>1500</v>
      </c>
    </row>
    <row r="40" spans="1:19" x14ac:dyDescent="0.2">
      <c r="B40" s="1" t="s">
        <v>73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</row>
    <row r="41" spans="1:19" x14ac:dyDescent="0.2">
      <c r="C41" t="s">
        <v>34</v>
      </c>
      <c r="D41" s="2">
        <v>26500</v>
      </c>
      <c r="E41" s="2"/>
      <c r="F41" s="2"/>
      <c r="G41" s="2"/>
      <c r="H41" s="2"/>
      <c r="I41" s="2"/>
      <c r="J41" s="2">
        <f>1916.67</f>
        <v>1916.67</v>
      </c>
      <c r="K41" s="2">
        <f>3833.33+1666.67+1666.67+781.67+583.33+583.33+385</f>
        <v>9500</v>
      </c>
      <c r="L41" s="2">
        <v>17083.330000000002</v>
      </c>
      <c r="M41" s="2"/>
      <c r="N41" s="2"/>
      <c r="O41" s="2"/>
      <c r="P41" s="2"/>
      <c r="Q41" s="2"/>
      <c r="R41" s="2"/>
      <c r="S41" s="3">
        <f t="shared" si="2"/>
        <v>28500</v>
      </c>
    </row>
    <row r="42" spans="1:19" x14ac:dyDescent="0.2">
      <c r="C42" t="s">
        <v>35</v>
      </c>
      <c r="D42" s="2">
        <v>10000</v>
      </c>
      <c r="E42" s="2"/>
      <c r="F42" s="2"/>
      <c r="G42" s="2"/>
      <c r="H42" s="2"/>
      <c r="I42" s="2"/>
      <c r="J42" s="2"/>
      <c r="K42" s="2">
        <f>85+75+120+130+180+60+120+130+120+180+130+120+130+120</f>
        <v>1700</v>
      </c>
      <c r="L42" s="2">
        <v>8300</v>
      </c>
      <c r="M42" s="2"/>
      <c r="N42" s="2"/>
      <c r="O42" s="2"/>
      <c r="P42" s="2"/>
      <c r="Q42" s="2"/>
      <c r="R42" s="2"/>
      <c r="S42" s="3">
        <f t="shared" si="2"/>
        <v>10000</v>
      </c>
    </row>
    <row r="43" spans="1:19" x14ac:dyDescent="0.2">
      <c r="B43" s="1" t="s">
        <v>36</v>
      </c>
      <c r="D43" s="2">
        <v>450</v>
      </c>
      <c r="E43" s="2"/>
      <c r="F43" s="2"/>
      <c r="G43" s="2"/>
      <c r="H43" s="2"/>
      <c r="I43" s="2"/>
      <c r="J43" s="2"/>
      <c r="K43" s="2"/>
      <c r="L43" s="2">
        <v>400</v>
      </c>
      <c r="M43" s="2"/>
      <c r="N43" s="2"/>
      <c r="O43" s="2"/>
      <c r="P43" s="2"/>
      <c r="Q43" s="2"/>
      <c r="R43" s="2"/>
      <c r="S43" s="3">
        <f t="shared" si="2"/>
        <v>400</v>
      </c>
    </row>
    <row r="44" spans="1:19" x14ac:dyDescent="0.2">
      <c r="B44" s="1" t="s">
        <v>37</v>
      </c>
      <c r="D44" s="2">
        <v>500</v>
      </c>
      <c r="E44" s="2"/>
      <c r="F44" s="2"/>
      <c r="G44" s="2"/>
      <c r="H44" s="2"/>
      <c r="I44" s="2"/>
      <c r="J44" s="2"/>
      <c r="K44" s="2"/>
      <c r="L44" s="2">
        <v>500</v>
      </c>
      <c r="M44" s="2"/>
      <c r="N44" s="2"/>
      <c r="O44" s="2"/>
      <c r="P44" s="2"/>
      <c r="Q44" s="2"/>
      <c r="R44" s="2"/>
      <c r="S44" s="3">
        <f t="shared" si="2"/>
        <v>500</v>
      </c>
    </row>
    <row r="45" spans="1:19" x14ac:dyDescent="0.2">
      <c r="B45" s="1" t="s">
        <v>38</v>
      </c>
      <c r="D45" s="2">
        <v>450</v>
      </c>
      <c r="E45" s="2"/>
      <c r="F45" s="2"/>
      <c r="G45" s="2">
        <f>337.5</f>
        <v>337.5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>
        <f t="shared" si="2"/>
        <v>337.5</v>
      </c>
    </row>
    <row r="46" spans="1:19" x14ac:dyDescent="0.2">
      <c r="B46" s="1" t="s">
        <v>22</v>
      </c>
      <c r="D46" s="2">
        <v>250</v>
      </c>
      <c r="E46" s="2"/>
      <c r="F46" s="2"/>
      <c r="G46" s="2"/>
      <c r="H46" s="2">
        <v>167.18</v>
      </c>
      <c r="I46" s="2">
        <v>202.03</v>
      </c>
      <c r="J46" s="2"/>
      <c r="K46" s="2">
        <v>19.14</v>
      </c>
      <c r="L46" s="2">
        <v>50</v>
      </c>
      <c r="M46" s="2"/>
      <c r="N46" s="2"/>
      <c r="O46" s="2"/>
      <c r="P46" s="2"/>
      <c r="Q46" s="2"/>
      <c r="R46" s="2"/>
      <c r="S46" s="3">
        <f t="shared" si="2"/>
        <v>438.35</v>
      </c>
    </row>
    <row r="47" spans="1:19" hidden="1" x14ac:dyDescent="0.2">
      <c r="B47" s="1" t="s">
        <v>39</v>
      </c>
      <c r="D47" s="5">
        <v>0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>
        <f t="shared" si="2"/>
        <v>0</v>
      </c>
    </row>
    <row r="48" spans="1:19" x14ac:dyDescent="0.2">
      <c r="A48" s="1" t="s">
        <v>40</v>
      </c>
      <c r="D48" s="16">
        <f>SUM(D25:D47)</f>
        <v>82250</v>
      </c>
      <c r="E48" s="16">
        <f>SUM(E25:E47)</f>
        <v>0</v>
      </c>
      <c r="F48" s="15"/>
      <c r="G48" s="16">
        <f t="shared" ref="G48:S48" si="3">SUM(G25:G47)</f>
        <v>485.5</v>
      </c>
      <c r="H48" s="16">
        <f t="shared" si="3"/>
        <v>2703.77</v>
      </c>
      <c r="I48" s="16">
        <f t="shared" si="3"/>
        <v>209.78</v>
      </c>
      <c r="J48" s="16">
        <f t="shared" si="3"/>
        <v>5066.92</v>
      </c>
      <c r="K48" s="16">
        <f t="shared" si="3"/>
        <v>15477.33</v>
      </c>
      <c r="L48" s="16">
        <f t="shared" si="3"/>
        <v>60555.58</v>
      </c>
      <c r="M48" s="16">
        <f t="shared" si="3"/>
        <v>0</v>
      </c>
      <c r="N48" s="16">
        <f t="shared" si="3"/>
        <v>0</v>
      </c>
      <c r="O48" s="16">
        <f t="shared" si="3"/>
        <v>0</v>
      </c>
      <c r="P48" s="16">
        <f t="shared" si="3"/>
        <v>0</v>
      </c>
      <c r="Q48" s="16">
        <f t="shared" si="3"/>
        <v>0</v>
      </c>
      <c r="R48" s="16">
        <f t="shared" si="3"/>
        <v>0</v>
      </c>
      <c r="S48" s="16">
        <f t="shared" si="3"/>
        <v>84498.880000000005</v>
      </c>
    </row>
    <row r="49" spans="1:19" x14ac:dyDescent="0.2">
      <c r="A49" s="4"/>
      <c r="S49" s="15">
        <f t="shared" si="2"/>
        <v>0</v>
      </c>
    </row>
    <row r="50" spans="1:19" s="1" customFormat="1" ht="16" thickBot="1" x14ac:dyDescent="0.25">
      <c r="A50" s="1" t="s">
        <v>49</v>
      </c>
      <c r="D50" s="17">
        <f>D23-D48</f>
        <v>3747.4799999999959</v>
      </c>
      <c r="E50" s="17">
        <f>E23-E48</f>
        <v>0</v>
      </c>
      <c r="F50" s="15"/>
      <c r="G50" s="17">
        <f t="shared" ref="G50:S50" si="4">G23-G48</f>
        <v>22751.25</v>
      </c>
      <c r="H50" s="17">
        <f t="shared" si="4"/>
        <v>8707.23</v>
      </c>
      <c r="I50" s="17">
        <f t="shared" si="4"/>
        <v>8498.2199999999993</v>
      </c>
      <c r="J50" s="17">
        <f t="shared" si="4"/>
        <v>11601.319999999998</v>
      </c>
      <c r="K50" s="17">
        <f t="shared" si="4"/>
        <v>-6526.33</v>
      </c>
      <c r="L50" s="17">
        <f t="shared" si="4"/>
        <v>-38374.76</v>
      </c>
      <c r="M50" s="17">
        <f t="shared" si="4"/>
        <v>0</v>
      </c>
      <c r="N50" s="17">
        <f t="shared" si="4"/>
        <v>0</v>
      </c>
      <c r="O50" s="17">
        <f t="shared" si="4"/>
        <v>0</v>
      </c>
      <c r="P50" s="17">
        <f t="shared" si="4"/>
        <v>0</v>
      </c>
      <c r="Q50" s="17">
        <f t="shared" si="4"/>
        <v>0</v>
      </c>
      <c r="R50" s="17">
        <f t="shared" si="4"/>
        <v>0</v>
      </c>
      <c r="S50" s="17">
        <f t="shared" si="4"/>
        <v>6656.929999999993</v>
      </c>
    </row>
    <row r="51" spans="1:19" s="1" customFormat="1" ht="16" thickTop="1" x14ac:dyDescent="0.2">
      <c r="C51" s="1" t="s">
        <v>79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</row>
    <row r="52" spans="1:19" x14ac:dyDescent="0.2">
      <c r="C52" t="s">
        <v>77</v>
      </c>
      <c r="G52" s="14">
        <f>4505.11</f>
        <v>4505.1099999999997</v>
      </c>
      <c r="H52" s="14">
        <f>G53</f>
        <v>27256.36</v>
      </c>
      <c r="I52" s="14">
        <f>H53</f>
        <v>35963.589999999997</v>
      </c>
      <c r="J52" s="14">
        <f>I53</f>
        <v>44461.81</v>
      </c>
      <c r="K52" s="14">
        <f t="shared" ref="K52:R52" si="5">J53</f>
        <v>56063.13</v>
      </c>
      <c r="L52" s="14">
        <f t="shared" si="5"/>
        <v>49536.799999999996</v>
      </c>
      <c r="M52" s="14">
        <f t="shared" si="5"/>
        <v>11162.039999999994</v>
      </c>
      <c r="N52" s="14">
        <f t="shared" si="5"/>
        <v>11162.039999999994</v>
      </c>
      <c r="O52" s="14">
        <f t="shared" si="5"/>
        <v>11162.039999999994</v>
      </c>
      <c r="P52" s="14">
        <f t="shared" si="5"/>
        <v>11162.039999999994</v>
      </c>
      <c r="Q52" s="14">
        <f t="shared" si="5"/>
        <v>11162.039999999994</v>
      </c>
      <c r="R52" s="14">
        <f t="shared" si="5"/>
        <v>11162.039999999994</v>
      </c>
      <c r="S52" s="14"/>
    </row>
    <row r="53" spans="1:19" x14ac:dyDescent="0.2">
      <c r="C53" t="s">
        <v>76</v>
      </c>
      <c r="G53" s="19">
        <f t="shared" ref="G53:R53" si="6">G52+G50</f>
        <v>27256.36</v>
      </c>
      <c r="H53" s="19">
        <f t="shared" si="6"/>
        <v>35963.589999999997</v>
      </c>
      <c r="I53" s="19">
        <f t="shared" si="6"/>
        <v>44461.81</v>
      </c>
      <c r="J53" s="19">
        <f t="shared" si="6"/>
        <v>56063.13</v>
      </c>
      <c r="K53" s="19">
        <f t="shared" si="6"/>
        <v>49536.799999999996</v>
      </c>
      <c r="L53" s="19">
        <f t="shared" si="6"/>
        <v>11162.039999999994</v>
      </c>
      <c r="M53" s="19">
        <f t="shared" si="6"/>
        <v>11162.039999999994</v>
      </c>
      <c r="N53" s="19">
        <f t="shared" si="6"/>
        <v>11162.039999999994</v>
      </c>
      <c r="O53" s="19">
        <f t="shared" si="6"/>
        <v>11162.039999999994</v>
      </c>
      <c r="P53" s="19">
        <f t="shared" si="6"/>
        <v>11162.039999999994</v>
      </c>
      <c r="Q53" s="19">
        <f t="shared" si="6"/>
        <v>11162.039999999994</v>
      </c>
      <c r="R53" s="19">
        <f t="shared" si="6"/>
        <v>11162.039999999994</v>
      </c>
      <c r="S53" s="14"/>
    </row>
    <row r="54" spans="1:19" x14ac:dyDescent="0.2">
      <c r="C54" t="s">
        <v>80</v>
      </c>
      <c r="G54" s="14">
        <f>27256.36</f>
        <v>27256.36</v>
      </c>
      <c r="H54" s="14">
        <v>35963.589999999997</v>
      </c>
      <c r="I54" s="14">
        <f>44663.84-202.03</f>
        <v>44461.81</v>
      </c>
      <c r="J54" s="14">
        <v>55763.13</v>
      </c>
      <c r="K54" s="14">
        <v>49336.800000000003</v>
      </c>
      <c r="S54" s="14"/>
    </row>
    <row r="55" spans="1:19" ht="16" thickBot="1" x14ac:dyDescent="0.25">
      <c r="C55" t="s">
        <v>78</v>
      </c>
      <c r="G55" s="18">
        <f>G54-G53</f>
        <v>0</v>
      </c>
      <c r="H55" s="18">
        <f t="shared" ref="H55:R55" si="7">H54-H53</f>
        <v>0</v>
      </c>
      <c r="I55" s="18">
        <f t="shared" si="7"/>
        <v>0</v>
      </c>
      <c r="J55" s="18">
        <f t="shared" si="7"/>
        <v>-300</v>
      </c>
      <c r="K55" s="18">
        <f t="shared" si="7"/>
        <v>-199.99999999999272</v>
      </c>
      <c r="L55" s="18">
        <f t="shared" si="7"/>
        <v>-11162.039999999994</v>
      </c>
      <c r="M55" s="18">
        <f t="shared" si="7"/>
        <v>-11162.039999999994</v>
      </c>
      <c r="N55" s="18">
        <f t="shared" si="7"/>
        <v>-11162.039999999994</v>
      </c>
      <c r="O55" s="18">
        <f t="shared" si="7"/>
        <v>-11162.039999999994</v>
      </c>
      <c r="P55" s="18">
        <f t="shared" si="7"/>
        <v>-11162.039999999994</v>
      </c>
      <c r="Q55" s="18">
        <f t="shared" si="7"/>
        <v>-11162.039999999994</v>
      </c>
      <c r="R55" s="18">
        <f t="shared" si="7"/>
        <v>-11162.039999999994</v>
      </c>
      <c r="S55" s="14"/>
    </row>
    <row r="56" spans="1:19" ht="16" thickTop="1" x14ac:dyDescent="0.2">
      <c r="J56" s="14" t="s">
        <v>81</v>
      </c>
      <c r="K56" s="14" t="s">
        <v>82</v>
      </c>
    </row>
  </sheetData>
  <pageMargins left="0.7" right="0.7" top="0.75" bottom="0.75" header="0.3" footer="0.3"/>
  <pageSetup scale="6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2019 Budget</vt:lpstr>
      <vt:lpstr>Monthly</vt:lpstr>
      <vt:lpstr>mower expectations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Aiken</dc:creator>
  <cp:lastModifiedBy>Microsoft Office User</cp:lastModifiedBy>
  <cp:lastPrinted>2021-01-20T03:50:14Z</cp:lastPrinted>
  <dcterms:created xsi:type="dcterms:W3CDTF">2018-09-25T17:32:53Z</dcterms:created>
  <dcterms:modified xsi:type="dcterms:W3CDTF">2021-01-20T04:14:51Z</dcterms:modified>
</cp:coreProperties>
</file>